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4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<sst xmlns="http://schemas.openxmlformats.org/spreadsheetml/2006/main" count="165" uniqueCount="113">
  <si>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</si>
  <si>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</si>
  <si>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</si>
  <si>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</si>
  <si>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</si>
  <si>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</si>
  <si>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</si>
  <si>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</si>
  <si>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</si>
  <si>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</si>
  <si>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</si>
  <si>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</si>
  <si>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</si>
  <si>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</si>
  <si>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</si>
  <si>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</si>
  <si>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</si>
  <si>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</si>
  <si>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</si>
  <si>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</si>
  <si>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</si>
  <si>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</si>
  <si>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</si>
  <si>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</si>
  <si>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</si>
  <si>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</si>
  <si>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</si>
  <si>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</si>
  <si>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</si>
  <si>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</si>
  <si>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</si>
  <si>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</si>
  <si>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</si>
  <si>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</si>
  <si>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</si>
  <si>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</si>
  <si>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</si>
  <si>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</si>
  <si>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</si>
  <si>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</si>
  <si>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</si>
  <si>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</si>
  <si>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</si>
  <si>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</si>
  <si>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</si>
  <si>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</si>
  <si>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</si>
  <si>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</si>
  <si>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</si>
  <si>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</si>
  <si>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</si>
  <si>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</si>
  <si>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</si>
  <si>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</si>
  <si>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</si>
  <si>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</si>
  <si>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</si>
  <si>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</si>
  <si>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</si>
  <si>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</si>
  <si>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</si>
  <si>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</si>
  <si>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</si>
  <si>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</si>
  <si>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</si>
  <si>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</si>
  <si>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</si>
  <si>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</si>
  <si>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</si>
  <si>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</si>
  <si>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</si>
  <si>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</si>
  <si>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</si>
  <si>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</si>
  <si>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</si>
  <si>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</si>
  <si>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</si>
  <si>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</si>
  <si>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</si>
  <si>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</si>
  <si>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</si>
  <si>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</si>
  <si>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</si>
  <si>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</si>
  <si>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</si>
  <si>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</si>
  <si>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</si>
  <si>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</si>
  <si>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</si>
  <si>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</si>
  <si>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</si>
  <si>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</si>
  <si>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</si>
  <si>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</si>
  <si>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</si>
  <si>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</si>
  <si>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</si>
  <si>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</si>
  <si>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</si>
  <si>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</si>
  <si>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</si>
  <si>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</si>
  <si>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</si>
  <si>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</si>
  <si>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</si>
  <si>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</si>
  <si>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</si>
  <si>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</si>
  <si>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</si>
  <si>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</si>
  <si>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</si>
  <si>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Аналіз використання коштів загального фонду міського бюджету станом на 03.05.2018 року</t>
  </si>
  <si>
    <t>План на 5 місяців, тис.грн.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</si>
</sst>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62645.50000000001</c:v>
                </c:pt>
                <c:pt idx="1">
                  <c:v>60159.80999999998</c:v>
                </c:pt>
                <c:pt idx="2">
                  <c:v>918.6</c:v>
                </c:pt>
                <c:pt idx="3">
                  <c:v>1567.0900000000242</c:v>
                </c:pt>
              </c:numCache>
            </c:numRef>
          </c:val>
          <c:shape val="box"/>
        </c:ser>
        <c:shape val="box"/>
        <c:axId val="40452708"/>
        <c:axId val="28530053"/>
      </c:bar3D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7"/>
          <c:w val="0.8435"/>
          <c:h val="0.69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257712.29999999996</c:v>
                </c:pt>
                <c:pt idx="1">
                  <c:v>78352.4</c:v>
                </c:pt>
                <c:pt idx="2">
                  <c:v>199264.00000000003</c:v>
                </c:pt>
                <c:pt idx="3">
                  <c:v>9.600000000000001</c:v>
                </c:pt>
                <c:pt idx="4">
                  <c:v>8398.1</c:v>
                </c:pt>
                <c:pt idx="5">
                  <c:v>43704.90000000001</c:v>
                </c:pt>
                <c:pt idx="6">
                  <c:v>4244.199999999999</c:v>
                </c:pt>
                <c:pt idx="7">
                  <c:v>2091.4999999999254</c:v>
                </c:pt>
              </c:numCache>
            </c:numRef>
          </c:val>
          <c:shape val="box"/>
        </c:ser>
        <c:shape val="box"/>
        <c:axId val="55443886"/>
        <c:axId val="29232927"/>
      </c:bar3D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133202.4</c:v>
                </c:pt>
                <c:pt idx="1">
                  <c:v>85929.8</c:v>
                </c:pt>
                <c:pt idx="2">
                  <c:v>133202.4</c:v>
                </c:pt>
              </c:numCache>
            </c:numRef>
          </c:val>
          <c:shape val="box"/>
        </c:ser>
        <c:shape val="box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6585</c:v>
                </c:pt>
                <c:pt idx="1">
                  <c:v>3806</c:v>
                </c:pt>
                <c:pt idx="2">
                  <c:v>15.5</c:v>
                </c:pt>
                <c:pt idx="3">
                  <c:v>542.4</c:v>
                </c:pt>
                <c:pt idx="4">
                  <c:v>159.2</c:v>
                </c:pt>
                <c:pt idx="5">
                  <c:v>20.4</c:v>
                </c:pt>
                <c:pt idx="6">
                  <c:v>2041.5</c:v>
                </c:pt>
              </c:numCache>
            </c:numRef>
          </c:val>
          <c:shape val="box"/>
        </c:ser>
        <c:shape val="box"/>
        <c:axId val="37293986"/>
        <c:axId val="101555"/>
      </c:bar3D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275"/>
          <c:w val="0.8637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9667.099999999999</c:v>
                </c:pt>
                <c:pt idx="1">
                  <c:v>5795.000000000001</c:v>
                </c:pt>
                <c:pt idx="3">
                  <c:v>299.6</c:v>
                </c:pt>
                <c:pt idx="4">
                  <c:v>412.1</c:v>
                </c:pt>
                <c:pt idx="5">
                  <c:v>440</c:v>
                </c:pt>
                <c:pt idx="6">
                  <c:v>2720.399999999998</c:v>
                </c:pt>
              </c:numCache>
            </c:numRef>
          </c:val>
          <c:shape val="box"/>
        </c:ser>
        <c:shape val="box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25965"/>
        <c:crosses val="autoZero"/>
        <c:auto val="1"/>
        <c:lblOffset val="100"/>
        <c:tickLblSkip val="2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1"/>
          <c:w val="0.877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1208.4</c:v>
                </c:pt>
                <c:pt idx="1">
                  <c:v>970.6</c:v>
                </c:pt>
                <c:pt idx="3">
                  <c:v>162.7</c:v>
                </c:pt>
                <c:pt idx="4">
                  <c:v>0</c:v>
                </c:pt>
                <c:pt idx="5">
                  <c:v>75.10000000000008</c:v>
                </c:pt>
              </c:numCache>
            </c:numRef>
          </c:val>
          <c:shape val="box"/>
        </c:ser>
        <c:shape val="box"/>
        <c:axId val="6924822"/>
        <c:axId val="62323399"/>
      </c:bar3D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10126.1</c:v>
                </c:pt>
              </c:numCache>
            </c:numRef>
          </c:val>
          <c:shape val="box"/>
        </c:ser>
        <c:shape val="box"/>
        <c:axId val="24039680"/>
        <c:axId val="15030529"/>
      </c:bar3D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257712.29999999996</c:v>
                </c:pt>
                <c:pt idx="1">
                  <c:v>133202.4</c:v>
                </c:pt>
                <c:pt idx="2">
                  <c:v>6585</c:v>
                </c:pt>
                <c:pt idx="3">
                  <c:v>9667.099999999999</c:v>
                </c:pt>
                <c:pt idx="4">
                  <c:v>1208.4</c:v>
                </c:pt>
                <c:pt idx="5">
                  <c:v>62645.50000000001</c:v>
                </c:pt>
                <c:pt idx="6">
                  <c:v>10126.1</c:v>
                </c:pt>
              </c:numCache>
            </c:numRef>
          </c:val>
          <c:shape val="box"/>
        </c:ser>
        <c:shape val="box"/>
        <c:axId val="1057034"/>
        <c:axId val="9513307"/>
      </c:bar3D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7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1053501.7999999993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274444.51</c:v>
                </c:pt>
                <c:pt idx="1">
                  <c:v>50317.60000000001</c:v>
                </c:pt>
                <c:pt idx="2">
                  <c:v>8731.5</c:v>
                </c:pt>
                <c:pt idx="3">
                  <c:v>7798.599999999998</c:v>
                </c:pt>
                <c:pt idx="4">
                  <c:v>9.600000000000001</c:v>
                </c:pt>
                <c:pt idx="5">
                  <c:v>216303.4899999999</c:v>
                </c:pt>
              </c:numCache>
            </c:numRef>
          </c:val>
          <c:shape val="box"/>
        </c:ser>
        <c:shape val="box"/>
        <c:axId val="18510900"/>
        <c:axId val="32380373"/>
      </c:bar3D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5" sqref="K13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111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112</v>
      </c>
      <c r="C3" s="169" t="s">
        <v>106</v>
      </c>
      <c r="D3" s="169" t="s">
        <v>22</v>
      </c>
      <c r="E3" s="169" t="s">
        <v>21</v>
      </c>
      <c r="F3" s="169" t="s">
        <v>109</v>
      </c>
      <c r="G3" s="169" t="s">
        <v>107</v>
      </c>
      <c r="H3" s="169" t="s">
        <v>110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9" ht="39" customHeight="1" thickBot="1">
      <c r="A5" s="174"/>
      <c r="B5" s="177"/>
      <c r="C5" s="171"/>
      <c r="D5" s="171"/>
      <c r="E5" s="171"/>
      <c r="F5" s="171"/>
      <c r="G5" s="171"/>
      <c r="H5" s="171"/>
      <c r="I5" s="171"/>
    </row>
    <row r="6" spans="1:11" ht="18.75" thickBot="1">
      <c r="A6" s="20" t="s">
        <v>26</v>
      </c>
      <c r="B6" s="37">
        <v>366354.23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</f>
        <v>257712.29999999996</v>
      </c>
      <c r="E6" s="3">
        <f>D6/D153*100</f>
        <v>46.21769197674412</v>
      </c>
      <c r="F6" s="3">
        <f>D6/B6*100</f>
        <v>70.34511379874063</v>
      </c>
      <c r="G6" s="3">
        <f aca="true" t="shared" si="0" ref="G6:G43">D6/C6*100</f>
        <v>31.15097165360612</v>
      </c>
      <c r="H6" s="39">
        <f>B6-D6</f>
        <v>108641.93000000002</v>
      </c>
      <c r="I6" s="39">
        <f aca="true" t="shared" si="1" ref="I6:I43">C6-D6</f>
        <v>569588.7000000001</v>
      </c>
      <c r="J6" s="92"/>
      <c r="K6" s="152"/>
    </row>
    <row r="7" spans="1:12" s="93" customFormat="1" ht="18">
      <c r="A7" s="139" t="s">
        <v>81</v>
      </c>
      <c r="B7" s="140">
        <v>115792.7</v>
      </c>
      <c r="C7" s="141">
        <v>262517.6</v>
      </c>
      <c r="D7" s="142">
        <f>8282.7+10875.2+9132.6+9963.6+4.3+9215.1+9968.6+9459.9+11450.4</f>
        <v>78352.4</v>
      </c>
      <c r="E7" s="143">
        <f>D7/D6*100</f>
        <v>30.403050223058813</v>
      </c>
      <c r="F7" s="143">
        <f>D7/B7*100</f>
        <v>67.66609639467772</v>
      </c>
      <c r="G7" s="143">
        <f>D7/C7*100</f>
        <v>29.846532194412873</v>
      </c>
      <c r="H7" s="142">
        <f>B7-D7</f>
        <v>37440.3</v>
      </c>
      <c r="I7" s="142">
        <f t="shared" si="1"/>
        <v>184165.19999999998</v>
      </c>
      <c r="K7" s="152"/>
      <c r="L7" s="138"/>
    </row>
    <row r="8" spans="1:12" s="92" customFormat="1" ht="18">
      <c r="A8" s="101" t="s">
        <v>3</v>
      </c>
      <c r="B8" s="125">
        <v>278938</v>
      </c>
      <c r="C8" s="126">
        <f>649221.9+8415.5</f>
        <v>657637.4</v>
      </c>
      <c r="D8" s="103">
        <f>18784.8+17058.5+10875.2+340.5+963.8+9132.6+10728.8+20670.9+9963.6+30.7+4.3+37.1+20227.5+2+9968.6+19814.4+11230.1+9459.9+20.4+27982.6+1967.7</f>
        <v>199264.00000000003</v>
      </c>
      <c r="E8" s="105">
        <f>D8/D6*100</f>
        <v>77.32032968546712</v>
      </c>
      <c r="F8" s="105">
        <f>D8/B8*100</f>
        <v>71.43666334454252</v>
      </c>
      <c r="G8" s="105">
        <f t="shared" si="0"/>
        <v>30.29997989773696</v>
      </c>
      <c r="H8" s="103">
        <f>B8-D8</f>
        <v>79673.99999999997</v>
      </c>
      <c r="I8" s="103">
        <f t="shared" si="1"/>
        <v>458373.4</v>
      </c>
      <c r="K8" s="152"/>
      <c r="L8" s="138"/>
    </row>
    <row r="9" spans="1:12" s="92" customFormat="1" ht="18">
      <c r="A9" s="101" t="s">
        <v>2</v>
      </c>
      <c r="B9" s="125">
        <v>30.8</v>
      </c>
      <c r="C9" s="126">
        <v>97.7</v>
      </c>
      <c r="D9" s="103">
        <f>3.4+5.4+0.8</f>
        <v>9.600000000000001</v>
      </c>
      <c r="E9" s="127">
        <f>D9/D6*100</f>
        <v>0.0037250841345174454</v>
      </c>
      <c r="F9" s="105">
        <f>D9/B9*100</f>
        <v>31.168831168831172</v>
      </c>
      <c r="G9" s="105">
        <f t="shared" si="0"/>
        <v>9.825997952917094</v>
      </c>
      <c r="H9" s="103">
        <f aca="true" t="shared" si="2" ref="H9:H43">B9-D9</f>
        <v>21.2</v>
      </c>
      <c r="I9" s="103">
        <f t="shared" si="1"/>
        <v>88.1</v>
      </c>
      <c r="K9" s="152"/>
      <c r="L9" s="138"/>
    </row>
    <row r="10" spans="1:12" s="92" customFormat="1" ht="18">
      <c r="A10" s="101" t="s">
        <v>1</v>
      </c>
      <c r="B10" s="125">
        <v>20572.4</v>
      </c>
      <c r="C10" s="126">
        <f>52816.3-8415.5</f>
        <v>44400.8</v>
      </c>
      <c r="D10" s="144">
        <f>48.9+218.8+88.4+85.8+204.3+521.3+87.9+293.2+244.8+269.9+23.7+37.8+76.9+443.5+72.7+206+64-0.1+91.4+327.2+264.1+9.2+95.9+74.6+15.1+25+206.8+75.6+0.4+2993.6+83.8+354.8+44.3+30.2+21.4+9.3+291.3+59.1+25.3+309.8+2.1</f>
        <v>8398.1</v>
      </c>
      <c r="E10" s="105">
        <f>D10/D6*100</f>
        <v>3.258711361467808</v>
      </c>
      <c r="F10" s="105">
        <f aca="true" t="shared" si="3" ref="F10:F41">D10/B10*100</f>
        <v>40.822169508662085</v>
      </c>
      <c r="G10" s="105">
        <f t="shared" si="0"/>
        <v>18.914298841462315</v>
      </c>
      <c r="H10" s="103">
        <f t="shared" si="2"/>
        <v>12174.300000000001</v>
      </c>
      <c r="I10" s="103">
        <f t="shared" si="1"/>
        <v>36002.700000000004</v>
      </c>
      <c r="K10" s="152"/>
      <c r="L10" s="138"/>
    </row>
    <row r="11" spans="1:12" s="92" customFormat="1" ht="18">
      <c r="A11" s="101" t="s">
        <v>0</v>
      </c>
      <c r="B11" s="125">
        <v>50855.85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</f>
        <v>43704.90000000001</v>
      </c>
      <c r="E11" s="105">
        <f>D11/D6*100</f>
        <v>16.958794749028282</v>
      </c>
      <c r="F11" s="105">
        <f t="shared" si="3"/>
        <v>85.93878580340318</v>
      </c>
      <c r="G11" s="105">
        <f t="shared" si="0"/>
        <v>49.56755175088804</v>
      </c>
      <c r="H11" s="103">
        <f t="shared" si="2"/>
        <v>7150.94999999999</v>
      </c>
      <c r="I11" s="103">
        <f t="shared" si="1"/>
        <v>44467.499999999985</v>
      </c>
      <c r="K11" s="152"/>
      <c r="L11" s="138"/>
    </row>
    <row r="12" spans="1:12" s="92" customFormat="1" ht="18">
      <c r="A12" s="101" t="s">
        <v>14</v>
      </c>
      <c r="B12" s="125">
        <v>5554.2</v>
      </c>
      <c r="C12" s="126">
        <v>12738</v>
      </c>
      <c r="D12" s="103">
        <f>874.5+251.8+346.3+159.7+538.5+10.6+57+168.9+31.7+165.3+10.6+439.5+199.1+10.6+10.6+19+325.9+10.6+160.6+453.5-0.1</f>
        <v>4244.199999999999</v>
      </c>
      <c r="E12" s="105">
        <f>D12/D6*100</f>
        <v>1.6468752170540557</v>
      </c>
      <c r="F12" s="105">
        <f t="shared" si="3"/>
        <v>76.41424507579848</v>
      </c>
      <c r="G12" s="105">
        <f t="shared" si="0"/>
        <v>33.319202386559894</v>
      </c>
      <c r="H12" s="103">
        <f>B12-D12</f>
        <v>1310.000000000001</v>
      </c>
      <c r="I12" s="103">
        <f t="shared" si="1"/>
        <v>8493.800000000001</v>
      </c>
      <c r="K12" s="152"/>
      <c r="L12" s="138"/>
    </row>
    <row r="13" spans="1:12" s="92" customFormat="1" ht="18.75" thickBot="1">
      <c r="A13" s="101" t="s">
        <v>27</v>
      </c>
      <c r="B13" s="126">
        <f>B6-B8-B9-B10-B11-B12</f>
        <v>10402.97999999997</v>
      </c>
      <c r="C13" s="126">
        <f>C6-C8-C9-C10-C11-C12</f>
        <v>24254.699999999968</v>
      </c>
      <c r="D13" s="126">
        <f>D6-D8-D9-D10-D11-D12</f>
        <v>2091.4999999999254</v>
      </c>
      <c r="E13" s="105">
        <f>D13/D6*100</f>
        <v>0.8115639028482249</v>
      </c>
      <c r="F13" s="105">
        <f t="shared" si="3"/>
        <v>20.104816119995725</v>
      </c>
      <c r="G13" s="105">
        <f t="shared" si="0"/>
        <v>8.623070992425914</v>
      </c>
      <c r="H13" s="103">
        <f t="shared" si="2"/>
        <v>8311.480000000045</v>
      </c>
      <c r="I13" s="103">
        <f t="shared" si="1"/>
        <v>22163.20000000004</v>
      </c>
      <c r="K13" s="152"/>
      <c r="L13" s="138"/>
    </row>
    <row r="14" spans="1:13" s="32" customFormat="1" ht="18.75" customHeight="1" hidden="1">
      <c r="A14" s="73" t="s">
        <v>61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93"/>
      <c r="K14" s="11"/>
      <c r="L14" s="11"/>
      <c r="M14" s="11"/>
    </row>
    <row r="15" spans="1:13" s="32" customFormat="1" ht="18.75" customHeight="1" hidden="1">
      <c r="A15" s="73" t="s">
        <v>58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93"/>
      <c r="K15" s="11"/>
      <c r="L15" s="11"/>
      <c r="M15" s="11"/>
    </row>
    <row r="16" spans="1:13" s="32" customFormat="1" ht="18.75" hidden="1" thickBot="1">
      <c r="A16" s="73" t="s">
        <v>59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93"/>
      <c r="K16" s="11"/>
      <c r="L16" s="11"/>
      <c r="M16" s="11"/>
    </row>
    <row r="17" spans="1:13" s="32" customFormat="1" ht="18.75" hidden="1" thickBot="1">
      <c r="A17" s="73" t="s">
        <v>60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93"/>
      <c r="K17" s="11"/>
      <c r="L17" s="11"/>
      <c r="M17" s="11"/>
    </row>
    <row r="18" spans="1:11" ht="18.75" thickBot="1">
      <c r="A18" s="20" t="s">
        <v>19</v>
      </c>
      <c r="B18" s="37">
        <v>177295.6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</f>
        <v>133202.4</v>
      </c>
      <c r="E18" s="3">
        <f>D18/D153*100</f>
        <v>23.888295179403784</v>
      </c>
      <c r="F18" s="3">
        <f>D18/B18*100</f>
        <v>75.13012167250625</v>
      </c>
      <c r="G18" s="3">
        <f t="shared" si="0"/>
        <v>31.404439215704766</v>
      </c>
      <c r="H18" s="39">
        <f>B18-D18</f>
        <v>44093.20000000001</v>
      </c>
      <c r="I18" s="39">
        <f t="shared" si="1"/>
        <v>290949.1</v>
      </c>
      <c r="J18" s="92"/>
      <c r="K18" s="152"/>
    </row>
    <row r="19" spans="1:13" s="93" customFormat="1" ht="18">
      <c r="A19" s="139" t="s">
        <v>82</v>
      </c>
      <c r="B19" s="140">
        <v>110014.6</v>
      </c>
      <c r="C19" s="141">
        <v>226186</v>
      </c>
      <c r="D19" s="142">
        <f>10253+8836.7+83+81.4+67.5+107.8+99.9+68+670.4+333.8+10669.5+517.6+20+0.9+930.5+9161.8+16.3+11.4+213.8+133.4+10945.8+52.3+638.7+0.4+5306.6+6666.4+53.2+13.5+1487.6+379+624.4+10164.8+582.4+578+0.5+199.4+5254.6+705.2+0.3</f>
        <v>85929.8</v>
      </c>
      <c r="E19" s="143">
        <f>D19/D18*100</f>
        <v>64.51069950691578</v>
      </c>
      <c r="F19" s="143">
        <f t="shared" si="3"/>
        <v>78.10763298689447</v>
      </c>
      <c r="G19" s="143">
        <f t="shared" si="0"/>
        <v>37.99076865942189</v>
      </c>
      <c r="H19" s="142">
        <f t="shared" si="2"/>
        <v>24084.800000000003</v>
      </c>
      <c r="I19" s="142">
        <f t="shared" si="1"/>
        <v>140256.2</v>
      </c>
      <c r="K19" s="152"/>
      <c r="L19" s="92"/>
      <c r="M19" s="92"/>
    </row>
    <row r="20" spans="1:11" s="92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2">
        <f>C20-B20</f>
        <v>0</v>
      </c>
    </row>
    <row r="21" spans="1:11" s="92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2">
        <f>C21-B21</f>
        <v>0</v>
      </c>
    </row>
    <row r="22" spans="1:11" s="92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2">
        <f>C22-B22</f>
        <v>0</v>
      </c>
    </row>
    <row r="23" spans="1:11" s="92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2">
        <f>C23-B23</f>
        <v>0</v>
      </c>
    </row>
    <row r="24" spans="1:11" s="92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2">
        <f>C24-B24</f>
        <v>0</v>
      </c>
    </row>
    <row r="25" spans="1:11" s="92" customFormat="1" ht="18.75" thickBot="1">
      <c r="A25" s="101" t="s">
        <v>27</v>
      </c>
      <c r="B25" s="126">
        <f>B18</f>
        <v>177295.6</v>
      </c>
      <c r="C25" s="126">
        <f>C18</f>
        <v>424151.5</v>
      </c>
      <c r="D25" s="126">
        <f>D18</f>
        <v>133202.4</v>
      </c>
      <c r="E25" s="105">
        <f>D25/D18*100</f>
        <v>100</v>
      </c>
      <c r="F25" s="105">
        <f t="shared" si="3"/>
        <v>75.13012167250625</v>
      </c>
      <c r="G25" s="105">
        <f t="shared" si="0"/>
        <v>31.404439215704766</v>
      </c>
      <c r="H25" s="103">
        <f t="shared" si="2"/>
        <v>44093.20000000001</v>
      </c>
      <c r="I25" s="103">
        <f t="shared" si="1"/>
        <v>290949.1</v>
      </c>
      <c r="K25" s="152"/>
    </row>
    <row r="26" spans="1:11" ht="55.5" hidden="1" thickBot="1">
      <c r="A26" s="73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2"/>
      <c r="K26" s="152">
        <f aca="true" t="shared" si="4" ref="K26:K32">C26-B26</f>
        <v>0</v>
      </c>
    </row>
    <row r="27" spans="1:11" ht="36.75" customHeight="1" hidden="1">
      <c r="A27" s="73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2"/>
      <c r="K27" s="152">
        <f t="shared" si="4"/>
        <v>0</v>
      </c>
    </row>
    <row r="28" spans="1:11" ht="18.75" hidden="1" thickBot="1">
      <c r="A28" s="73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2"/>
      <c r="K28" s="152">
        <f t="shared" si="4"/>
        <v>0</v>
      </c>
    </row>
    <row r="29" spans="1:11" ht="39.75" customHeight="1" hidden="1">
      <c r="A29" s="73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2"/>
      <c r="K29" s="152">
        <f t="shared" si="4"/>
        <v>0</v>
      </c>
    </row>
    <row r="30" spans="1:11" ht="37.5" customHeight="1" hidden="1">
      <c r="A30" s="73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2"/>
      <c r="K30" s="152">
        <f t="shared" si="4"/>
        <v>0</v>
      </c>
    </row>
    <row r="31" spans="1:11" ht="36" customHeight="1" hidden="1">
      <c r="A31" s="73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2"/>
      <c r="K31" s="152">
        <f t="shared" si="4"/>
        <v>0</v>
      </c>
    </row>
    <row r="32" spans="1:11" ht="18.75" hidden="1" thickBot="1">
      <c r="A32" s="73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2"/>
      <c r="K32" s="152">
        <f t="shared" si="4"/>
        <v>0</v>
      </c>
    </row>
    <row r="33" spans="1:11" ht="18.75" thickBot="1">
      <c r="A33" s="20" t="s">
        <v>17</v>
      </c>
      <c r="B33" s="37">
        <v>10336.2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</f>
        <v>6585</v>
      </c>
      <c r="E33" s="3">
        <f>D33/D153*100</f>
        <v>1.1809428640653166</v>
      </c>
      <c r="F33" s="3">
        <f>D33/B33*100</f>
        <v>63.70813258257386</v>
      </c>
      <c r="G33" s="3">
        <f t="shared" si="0"/>
        <v>26.546960100946986</v>
      </c>
      <c r="H33" s="39">
        <f t="shared" si="2"/>
        <v>3751.2000000000007</v>
      </c>
      <c r="I33" s="39">
        <f t="shared" si="1"/>
        <v>18220.1</v>
      </c>
      <c r="J33" s="159"/>
      <c r="K33" s="152"/>
    </row>
    <row r="34" spans="1:11" s="92" customFormat="1" ht="18">
      <c r="A34" s="101" t="s">
        <v>3</v>
      </c>
      <c r="B34" s="125">
        <v>5214</v>
      </c>
      <c r="C34" s="126">
        <v>12906.6</v>
      </c>
      <c r="D34" s="103">
        <f>364.6+548.1+389.3+522.2+63+395+556.7+63+391.3+512.8</f>
        <v>3806</v>
      </c>
      <c r="E34" s="105">
        <f>D34/D33*100</f>
        <v>57.79802581624905</v>
      </c>
      <c r="F34" s="105">
        <f t="shared" si="3"/>
        <v>72.9957805907173</v>
      </c>
      <c r="G34" s="105">
        <f t="shared" si="0"/>
        <v>29.48878868175972</v>
      </c>
      <c r="H34" s="103">
        <f t="shared" si="2"/>
        <v>1408</v>
      </c>
      <c r="I34" s="103">
        <f t="shared" si="1"/>
        <v>9100.6</v>
      </c>
      <c r="K34" s="152"/>
    </row>
    <row r="35" spans="1:11" s="92" customFormat="1" ht="18">
      <c r="A35" s="101" t="s">
        <v>1</v>
      </c>
      <c r="B35" s="125">
        <v>27.1</v>
      </c>
      <c r="C35" s="126">
        <v>81.1</v>
      </c>
      <c r="D35" s="103">
        <f>6.8+8.7</f>
        <v>15.5</v>
      </c>
      <c r="E35" s="105">
        <f>D35/D33*100</f>
        <v>0.2353834472285497</v>
      </c>
      <c r="F35" s="105">
        <f t="shared" si="3"/>
        <v>57.19557195571956</v>
      </c>
      <c r="G35" s="105">
        <f t="shared" si="0"/>
        <v>19.112207151664613</v>
      </c>
      <c r="H35" s="103">
        <f t="shared" si="2"/>
        <v>11.600000000000001</v>
      </c>
      <c r="I35" s="103">
        <f t="shared" si="1"/>
        <v>65.6</v>
      </c>
      <c r="K35" s="152"/>
    </row>
    <row r="36" spans="1:11" s="92" customFormat="1" ht="18">
      <c r="A36" s="101" t="s">
        <v>0</v>
      </c>
      <c r="B36" s="125">
        <v>1009.1</v>
      </c>
      <c r="C36" s="126">
        <v>1783</v>
      </c>
      <c r="D36" s="103">
        <f>0.3+11.3+141.7+12.6+0.9+12.9+1.3+0.5+169.4+1.1+0.1+0.4+11.3+166.1+3.8+5.1+2.9+0.2+0.5</f>
        <v>542.4</v>
      </c>
      <c r="E36" s="105">
        <f>D36/D33*100</f>
        <v>8.236902050113896</v>
      </c>
      <c r="F36" s="105">
        <f t="shared" si="3"/>
        <v>53.750867109305325</v>
      </c>
      <c r="G36" s="105">
        <f t="shared" si="0"/>
        <v>30.420639371845205</v>
      </c>
      <c r="H36" s="103">
        <f t="shared" si="2"/>
        <v>466.70000000000005</v>
      </c>
      <c r="I36" s="103">
        <f t="shared" si="1"/>
        <v>1240.6</v>
      </c>
      <c r="K36" s="152"/>
    </row>
    <row r="37" spans="1:12" s="93" customFormat="1" ht="18">
      <c r="A37" s="116" t="s">
        <v>7</v>
      </c>
      <c r="B37" s="136">
        <v>298.7</v>
      </c>
      <c r="C37" s="137">
        <v>1008</v>
      </c>
      <c r="D37" s="107">
        <f>44.8+25.1+1.6+0.5+2.7+1+6.3+8.5+2.5+36.6+1.5+4.5+23.6</f>
        <v>159.2</v>
      </c>
      <c r="E37" s="111">
        <f>D37/D33*100</f>
        <v>2.4176157934700075</v>
      </c>
      <c r="F37" s="111">
        <f t="shared" si="3"/>
        <v>53.297623033143616</v>
      </c>
      <c r="G37" s="111">
        <f t="shared" si="0"/>
        <v>15.793650793650793</v>
      </c>
      <c r="H37" s="107">
        <f t="shared" si="2"/>
        <v>139.5</v>
      </c>
      <c r="I37" s="107">
        <f t="shared" si="1"/>
        <v>848.8</v>
      </c>
      <c r="K37" s="152"/>
      <c r="L37" s="138"/>
    </row>
    <row r="38" spans="1:11" s="92" customFormat="1" ht="18">
      <c r="A38" s="101" t="s">
        <v>14</v>
      </c>
      <c r="B38" s="125">
        <v>25.5</v>
      </c>
      <c r="C38" s="126">
        <v>80.8</v>
      </c>
      <c r="D38" s="126">
        <f>5.1+5.1+5.1+5.1</f>
        <v>20.4</v>
      </c>
      <c r="E38" s="105">
        <f>D38/D33*100</f>
        <v>0.30979498861047833</v>
      </c>
      <c r="F38" s="105">
        <f t="shared" si="3"/>
        <v>80</v>
      </c>
      <c r="G38" s="105">
        <f t="shared" si="0"/>
        <v>25.247524752475247</v>
      </c>
      <c r="H38" s="103">
        <f t="shared" si="2"/>
        <v>5.100000000000001</v>
      </c>
      <c r="I38" s="103">
        <f t="shared" si="1"/>
        <v>60.4</v>
      </c>
      <c r="K38" s="152"/>
    </row>
    <row r="39" spans="1:11" s="92" customFormat="1" ht="18.75" thickBot="1">
      <c r="A39" s="101" t="s">
        <v>27</v>
      </c>
      <c r="B39" s="125">
        <f>B33-B34-B36-B37-B35-B38</f>
        <v>3761.8000000000006</v>
      </c>
      <c r="C39" s="125">
        <f>C33-C34-C36-C37-C35-C38</f>
        <v>8945.599999999999</v>
      </c>
      <c r="D39" s="125">
        <f>D33-D34-D36-D37-D35-D38</f>
        <v>2041.5</v>
      </c>
      <c r="E39" s="105">
        <f>D39/D33*100</f>
        <v>31.002277904328018</v>
      </c>
      <c r="F39" s="105">
        <f t="shared" si="3"/>
        <v>54.269232814078364</v>
      </c>
      <c r="G39" s="105">
        <f t="shared" si="0"/>
        <v>22.82127526381685</v>
      </c>
      <c r="H39" s="103">
        <f>B39-D39</f>
        <v>1720.3000000000006</v>
      </c>
      <c r="I39" s="103">
        <f t="shared" si="1"/>
        <v>6904.0999999999985</v>
      </c>
      <c r="K39" s="152"/>
    </row>
    <row r="40" spans="1:11" ht="18.75" hidden="1" thickBot="1">
      <c r="A40" s="73" t="s">
        <v>66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92"/>
      <c r="K40" s="152">
        <f>C40-B40</f>
        <v>0</v>
      </c>
    </row>
    <row r="41" spans="1:11" ht="18.75" hidden="1" thickBot="1">
      <c r="A41" s="73" t="s">
        <v>67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92"/>
      <c r="K41" s="152">
        <f>C41-B41</f>
        <v>0</v>
      </c>
    </row>
    <row r="42" spans="1:11" ht="18.75" hidden="1" thickBot="1">
      <c r="A42" s="73" t="s">
        <v>68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92"/>
      <c r="K42" s="152">
        <f>C42-B42</f>
        <v>0</v>
      </c>
    </row>
    <row r="43" spans="1:11" ht="18.75" thickBot="1">
      <c r="A43" s="12" t="s">
        <v>16</v>
      </c>
      <c r="B43" s="75">
        <v>1049.7</v>
      </c>
      <c r="C43" s="38">
        <f>1126.9+467</f>
        <v>1593.9</v>
      </c>
      <c r="D43" s="39">
        <f>63.9+1.1+0.6+70.8+0.5+48+6.7</f>
        <v>191.59999999999997</v>
      </c>
      <c r="E43" s="3">
        <f>D43/D153*100</f>
        <v>0.03436122289368483</v>
      </c>
      <c r="F43" s="3">
        <f>D43/B43*100</f>
        <v>18.2528341430885</v>
      </c>
      <c r="G43" s="3">
        <f t="shared" si="0"/>
        <v>12.020829412133757</v>
      </c>
      <c r="H43" s="39">
        <f t="shared" si="2"/>
        <v>858.1000000000001</v>
      </c>
      <c r="I43" s="39">
        <f t="shared" si="1"/>
        <v>1402.3000000000002</v>
      </c>
      <c r="J43" s="92"/>
      <c r="K43" s="152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2"/>
      <c r="K44" s="152"/>
    </row>
    <row r="45" spans="1:11" ht="18.75" thickBot="1">
      <c r="A45" s="20" t="s">
        <v>44</v>
      </c>
      <c r="B45" s="37">
        <v>5706.5</v>
      </c>
      <c r="C45" s="38">
        <v>13576.3</v>
      </c>
      <c r="D45" s="39">
        <f>237.1+562.8+52.3+349.2+679.9+375.9+891+78.3+327.4+13.5+670.2</f>
        <v>4237.6</v>
      </c>
      <c r="E45" s="3">
        <f>D45/D153*100</f>
        <v>0.7599640821204534</v>
      </c>
      <c r="F45" s="3">
        <f>D45/B45*100</f>
        <v>74.25917813020241</v>
      </c>
      <c r="G45" s="3">
        <f aca="true" t="shared" si="5" ref="G45:G76">D45/C45*100</f>
        <v>31.213217150475465</v>
      </c>
      <c r="H45" s="39">
        <f>B45-D45</f>
        <v>1468.8999999999996</v>
      </c>
      <c r="I45" s="39">
        <f aca="true" t="shared" si="6" ref="I45:I77">C45-D45</f>
        <v>9338.699999999999</v>
      </c>
      <c r="J45" s="92"/>
      <c r="K45" s="152"/>
    </row>
    <row r="46" spans="1:11" s="92" customFormat="1" ht="18">
      <c r="A46" s="101" t="s">
        <v>3</v>
      </c>
      <c r="B46" s="125">
        <v>4987.5</v>
      </c>
      <c r="C46" s="126">
        <v>12256.4</v>
      </c>
      <c r="D46" s="103">
        <f>237.1+551.8+334.1+652.5+314.7+746.1+319.2+661.7</f>
        <v>3817.2</v>
      </c>
      <c r="E46" s="105">
        <f>D46/D45*100</f>
        <v>90.0792901642439</v>
      </c>
      <c r="F46" s="105">
        <f aca="true" t="shared" si="7" ref="F46:F74">D46/B46*100</f>
        <v>76.53533834586466</v>
      </c>
      <c r="G46" s="105">
        <f t="shared" si="5"/>
        <v>31.14454489083254</v>
      </c>
      <c r="H46" s="103">
        <f aca="true" t="shared" si="8" ref="H46:H74">B46-D46</f>
        <v>1170.3000000000002</v>
      </c>
      <c r="I46" s="103">
        <f t="shared" si="6"/>
        <v>8439.2</v>
      </c>
      <c r="K46" s="152"/>
    </row>
    <row r="47" spans="1:11" s="92" customFormat="1" ht="18">
      <c r="A47" s="101" t="s">
        <v>2</v>
      </c>
      <c r="B47" s="125">
        <v>0.8</v>
      </c>
      <c r="C47" s="126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2"/>
    </row>
    <row r="48" spans="1:11" s="92" customFormat="1" ht="18">
      <c r="A48" s="101" t="s">
        <v>1</v>
      </c>
      <c r="B48" s="125">
        <v>39.4</v>
      </c>
      <c r="C48" s="126">
        <v>98.9</v>
      </c>
      <c r="D48" s="103">
        <f>5.7+6.1+6.5</f>
        <v>18.3</v>
      </c>
      <c r="E48" s="105">
        <f>D48/D45*100</f>
        <v>0.4318482159713045</v>
      </c>
      <c r="F48" s="105">
        <f t="shared" si="7"/>
        <v>46.44670050761422</v>
      </c>
      <c r="G48" s="105">
        <f t="shared" si="5"/>
        <v>18.503538928210315</v>
      </c>
      <c r="H48" s="103">
        <f t="shared" si="8"/>
        <v>21.099999999999998</v>
      </c>
      <c r="I48" s="103">
        <f t="shared" si="6"/>
        <v>80.60000000000001</v>
      </c>
      <c r="K48" s="152"/>
    </row>
    <row r="49" spans="1:11" s="92" customFormat="1" ht="18">
      <c r="A49" s="101" t="s">
        <v>0</v>
      </c>
      <c r="B49" s="125">
        <v>553.6</v>
      </c>
      <c r="C49" s="126">
        <v>879.8</v>
      </c>
      <c r="D49" s="103">
        <f>7.3+51.9+12.7-0.1+54.5+131.2+49.5+2.4+7.9</f>
        <v>317.29999999999995</v>
      </c>
      <c r="E49" s="105">
        <f>D49/D45*100</f>
        <v>7.4877289031527265</v>
      </c>
      <c r="F49" s="105">
        <f t="shared" si="7"/>
        <v>57.31575144508669</v>
      </c>
      <c r="G49" s="105">
        <f t="shared" si="5"/>
        <v>36.06501477608547</v>
      </c>
      <c r="H49" s="103">
        <f t="shared" si="8"/>
        <v>236.30000000000007</v>
      </c>
      <c r="I49" s="103">
        <f t="shared" si="6"/>
        <v>562.5</v>
      </c>
      <c r="K49" s="152"/>
    </row>
    <row r="50" spans="1:11" s="92" customFormat="1" ht="18.75" thickBot="1">
      <c r="A50" s="101" t="s">
        <v>27</v>
      </c>
      <c r="B50" s="126">
        <f>B45-B46-B49-B48-B47</f>
        <v>125.19999999999997</v>
      </c>
      <c r="C50" s="126">
        <f>C45-C46-C49-C48-C47</f>
        <v>339.6999999999997</v>
      </c>
      <c r="D50" s="126">
        <f>D45-D46-D49-D48-D47</f>
        <v>84.8000000000006</v>
      </c>
      <c r="E50" s="105">
        <f>D50/D45*100</f>
        <v>2.0011327166320694</v>
      </c>
      <c r="F50" s="105">
        <f t="shared" si="7"/>
        <v>67.73162939297174</v>
      </c>
      <c r="G50" s="105">
        <f t="shared" si="5"/>
        <v>24.96320282602316</v>
      </c>
      <c r="H50" s="103">
        <f t="shared" si="8"/>
        <v>40.39999999999938</v>
      </c>
      <c r="I50" s="103">
        <f t="shared" si="6"/>
        <v>254.89999999999912</v>
      </c>
      <c r="K50" s="152"/>
    </row>
    <row r="51" spans="1:11" ht="18.75" thickBot="1">
      <c r="A51" s="20" t="s">
        <v>4</v>
      </c>
      <c r="B51" s="37">
        <v>14103.9</v>
      </c>
      <c r="C51" s="38">
        <v>37135.4</v>
      </c>
      <c r="D51" s="39">
        <f>632.9+35.2+911.5+180.2+1+93.6+110+157.4+908.3+5.2+0.4+827.7+156.7+1.3+214.8+344.6+657.7+47.5+111.7+17+80.2+154.3+72.4+1021.3+20+1.6+151.9+235.3+35.5+146.1+691+107.9+33.3+238+37.7+71+37.8+19.8+902.5+194.8</f>
        <v>9667.099999999999</v>
      </c>
      <c r="E51" s="3">
        <f>D51/D153*100</f>
        <v>1.7336815127115899</v>
      </c>
      <c r="F51" s="3">
        <f>D51/B51*100</f>
        <v>68.54203447273449</v>
      </c>
      <c r="G51" s="3">
        <f t="shared" si="5"/>
        <v>26.03203412377408</v>
      </c>
      <c r="H51" s="39">
        <f>B51-D51</f>
        <v>4436.800000000001</v>
      </c>
      <c r="I51" s="39">
        <f t="shared" si="6"/>
        <v>27468.300000000003</v>
      </c>
      <c r="J51" s="92"/>
      <c r="K51" s="152"/>
    </row>
    <row r="52" spans="1:11" s="92" customFormat="1" ht="18">
      <c r="A52" s="101" t="s">
        <v>3</v>
      </c>
      <c r="B52" s="125">
        <v>8043.2</v>
      </c>
      <c r="C52" s="126">
        <v>20097.4</v>
      </c>
      <c r="D52" s="103">
        <f>632.9+34.3+767.3+737.6+710.6+649.6+792.4+1.6+643.1+825.6</f>
        <v>5795.000000000001</v>
      </c>
      <c r="E52" s="105">
        <f>D52/D51*100</f>
        <v>59.94558864602622</v>
      </c>
      <c r="F52" s="105">
        <f t="shared" si="7"/>
        <v>72.0484384324647</v>
      </c>
      <c r="G52" s="105">
        <f t="shared" si="5"/>
        <v>28.83457561674645</v>
      </c>
      <c r="H52" s="103">
        <f t="shared" si="8"/>
        <v>2248.199999999999</v>
      </c>
      <c r="I52" s="103">
        <f t="shared" si="6"/>
        <v>14302.400000000001</v>
      </c>
      <c r="K52" s="152"/>
    </row>
    <row r="53" spans="1:11" s="92" customFormat="1" ht="18">
      <c r="A53" s="101" t="s">
        <v>2</v>
      </c>
      <c r="B53" s="125">
        <v>0</v>
      </c>
      <c r="C53" s="126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2"/>
    </row>
    <row r="54" spans="1:11" s="92" customFormat="1" ht="18">
      <c r="A54" s="101" t="s">
        <v>1</v>
      </c>
      <c r="B54" s="125">
        <v>447.9</v>
      </c>
      <c r="C54" s="126">
        <v>993.6</v>
      </c>
      <c r="D54" s="103">
        <f>0.2+4.2+9+4.7+9.6+6.3+43.2+2.7+18.4+3.8+23.8+5.3+12.2+43.2+26.7+3.8+22.4+0.4+59.7</f>
        <v>299.6</v>
      </c>
      <c r="E54" s="105">
        <f>D54/D51*100</f>
        <v>3.099171416453746</v>
      </c>
      <c r="F54" s="105">
        <f t="shared" si="7"/>
        <v>66.88993078812236</v>
      </c>
      <c r="G54" s="105">
        <f t="shared" si="5"/>
        <v>30.152979066022546</v>
      </c>
      <c r="H54" s="103">
        <f t="shared" si="8"/>
        <v>148.29999999999995</v>
      </c>
      <c r="I54" s="103">
        <f t="shared" si="6"/>
        <v>694</v>
      </c>
      <c r="K54" s="152"/>
    </row>
    <row r="55" spans="1:11" s="92" customFormat="1" ht="18">
      <c r="A55" s="101" t="s">
        <v>0</v>
      </c>
      <c r="B55" s="125">
        <v>571.3</v>
      </c>
      <c r="C55" s="126">
        <v>1219.9</v>
      </c>
      <c r="D55" s="103">
        <f>0.5+1+2.8+12.3+8.3+0.5+0.4+8.7+15+0.3+1.3+64.9+33.6+8.1+0.1+94.7+0.3+9.8+7.8+0.9+1.8+16.2+18.3+3.3+0.1+11.4+0.1+11.4+1.3+76.9</f>
        <v>412.1</v>
      </c>
      <c r="E55" s="105">
        <f>D55/D51*100</f>
        <v>4.262912352204902</v>
      </c>
      <c r="F55" s="105">
        <f t="shared" si="7"/>
        <v>72.1337300892701</v>
      </c>
      <c r="G55" s="105">
        <f t="shared" si="5"/>
        <v>33.78145749651611</v>
      </c>
      <c r="H55" s="103">
        <f t="shared" si="8"/>
        <v>159.19999999999993</v>
      </c>
      <c r="I55" s="103">
        <f t="shared" si="6"/>
        <v>807.8000000000001</v>
      </c>
      <c r="K55" s="152"/>
    </row>
    <row r="56" spans="1:11" s="92" customFormat="1" ht="18">
      <c r="A56" s="101" t="s">
        <v>14</v>
      </c>
      <c r="B56" s="125">
        <v>550</v>
      </c>
      <c r="C56" s="126">
        <v>1320</v>
      </c>
      <c r="D56" s="126">
        <f>110+110+110+110</f>
        <v>440</v>
      </c>
      <c r="E56" s="105">
        <f>D56/D51*100</f>
        <v>4.551520104271189</v>
      </c>
      <c r="F56" s="105">
        <f>D56/B56*100</f>
        <v>80</v>
      </c>
      <c r="G56" s="105">
        <f>D56/C56*100</f>
        <v>33.33333333333333</v>
      </c>
      <c r="H56" s="103">
        <f t="shared" si="8"/>
        <v>110</v>
      </c>
      <c r="I56" s="103">
        <f t="shared" si="6"/>
        <v>880</v>
      </c>
      <c r="K56" s="152"/>
    </row>
    <row r="57" spans="1:11" s="92" customFormat="1" ht="18.75" thickBot="1">
      <c r="A57" s="101" t="s">
        <v>27</v>
      </c>
      <c r="B57" s="126">
        <f>B51-B52-B55-B54-B53-B56</f>
        <v>4491.5</v>
      </c>
      <c r="C57" s="126">
        <f>C51-C52-C55-C54-C53-C56</f>
        <v>13490.6</v>
      </c>
      <c r="D57" s="126">
        <f>D51-D52-D55-D54-D53-D56</f>
        <v>2720.399999999998</v>
      </c>
      <c r="E57" s="105">
        <f>D57/D51*100</f>
        <v>28.140807481043932</v>
      </c>
      <c r="F57" s="105">
        <f t="shared" si="7"/>
        <v>60.56773906267389</v>
      </c>
      <c r="G57" s="105">
        <f t="shared" si="5"/>
        <v>20.165152031785077</v>
      </c>
      <c r="H57" s="103">
        <f>B57-D57</f>
        <v>1771.1000000000022</v>
      </c>
      <c r="I57" s="103">
        <f>C57-D57</f>
        <v>10770.200000000003</v>
      </c>
      <c r="K57" s="152"/>
    </row>
    <row r="58" spans="1:11" s="32" customFormat="1" ht="18.75" hidden="1" thickBot="1">
      <c r="A58" s="73" t="s">
        <v>65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93"/>
      <c r="K58" s="152">
        <f>C58-B58</f>
        <v>0</v>
      </c>
    </row>
    <row r="59" spans="1:11" ht="18.75" thickBot="1">
      <c r="A59" s="20" t="s">
        <v>6</v>
      </c>
      <c r="B59" s="37">
        <v>1632.1</v>
      </c>
      <c r="C59" s="38">
        <v>9264.2</v>
      </c>
      <c r="D59" s="39">
        <f>87.7+79.1+87.8+43.2+40.5+47.6+13+155.9+18+2.1+84.2+29.6+0.7+0.5+5.7+85.8+109.2+19+38.3+85.7+1.2+4.7+89.8+79.1</f>
        <v>1208.4</v>
      </c>
      <c r="E59" s="3">
        <f>D59/D153*100</f>
        <v>0.2167124308179998</v>
      </c>
      <c r="F59" s="3">
        <f>D59/B59*100</f>
        <v>74.0395809080326</v>
      </c>
      <c r="G59" s="3">
        <f t="shared" si="5"/>
        <v>13.043759849744177</v>
      </c>
      <c r="H59" s="39">
        <f>B59-D59</f>
        <v>423.6999999999998</v>
      </c>
      <c r="I59" s="39">
        <f t="shared" si="6"/>
        <v>8055.800000000001</v>
      </c>
      <c r="J59" s="92"/>
      <c r="K59" s="152"/>
    </row>
    <row r="60" spans="1:11" s="92" customFormat="1" ht="18">
      <c r="A60" s="101" t="s">
        <v>3</v>
      </c>
      <c r="B60" s="125">
        <v>1268.68</v>
      </c>
      <c r="C60" s="126">
        <v>3119.7</v>
      </c>
      <c r="D60" s="103">
        <f>77.7+79.1+76.9+40.5+47.3+155.9+45+29.2+85.8+95.3+38.3+30.7+89.8+79.1</f>
        <v>970.6</v>
      </c>
      <c r="E60" s="105">
        <f>D60/D59*100</f>
        <v>80.32108573320093</v>
      </c>
      <c r="F60" s="105">
        <f t="shared" si="7"/>
        <v>76.50471356055112</v>
      </c>
      <c r="G60" s="105">
        <f t="shared" si="5"/>
        <v>31.11196589415649</v>
      </c>
      <c r="H60" s="103">
        <f t="shared" si="8"/>
        <v>298.08000000000004</v>
      </c>
      <c r="I60" s="103">
        <f t="shared" si="6"/>
        <v>2149.1</v>
      </c>
      <c r="K60" s="152"/>
    </row>
    <row r="61" spans="1:11" s="92" customFormat="1" ht="18">
      <c r="A61" s="101" t="s">
        <v>1</v>
      </c>
      <c r="B61" s="125">
        <v>0</v>
      </c>
      <c r="C61" s="126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2"/>
    </row>
    <row r="62" spans="1:11" s="92" customFormat="1" ht="18">
      <c r="A62" s="101" t="s">
        <v>0</v>
      </c>
      <c r="B62" s="125">
        <v>236.7</v>
      </c>
      <c r="C62" s="126">
        <v>393.7</v>
      </c>
      <c r="D62" s="103">
        <f>10.9+43.2+13-3+39.2+5.7+50.2+3.5</f>
        <v>162.7</v>
      </c>
      <c r="E62" s="105">
        <f>D62/D59*100</f>
        <v>13.464084740152266</v>
      </c>
      <c r="F62" s="105">
        <f t="shared" si="7"/>
        <v>68.73679763413604</v>
      </c>
      <c r="G62" s="105">
        <f t="shared" si="5"/>
        <v>41.3258826517653</v>
      </c>
      <c r="H62" s="103">
        <f t="shared" si="8"/>
        <v>74</v>
      </c>
      <c r="I62" s="103">
        <f t="shared" si="6"/>
        <v>231</v>
      </c>
      <c r="K62" s="152"/>
    </row>
    <row r="63" spans="1:11" s="92" customFormat="1" ht="18">
      <c r="A63" s="101" t="s">
        <v>14</v>
      </c>
      <c r="B63" s="125">
        <v>0</v>
      </c>
      <c r="C63" s="126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2"/>
    </row>
    <row r="64" spans="1:11" s="92" customFormat="1" ht="18.75" thickBot="1">
      <c r="A64" s="101" t="s">
        <v>27</v>
      </c>
      <c r="B64" s="126">
        <f>B59-B60-B62-B63-B61</f>
        <v>126.71999999999986</v>
      </c>
      <c r="C64" s="126">
        <f>C59-C60-C62-C63-C61</f>
        <v>523.5000000000007</v>
      </c>
      <c r="D64" s="126">
        <f>D59-D60-D62-D63-D61</f>
        <v>75.10000000000008</v>
      </c>
      <c r="E64" s="105">
        <f>D64/D59*100</f>
        <v>6.214829526646811</v>
      </c>
      <c r="F64" s="105">
        <f t="shared" si="7"/>
        <v>59.264520202020336</v>
      </c>
      <c r="G64" s="105">
        <f t="shared" si="5"/>
        <v>14.345749761222537</v>
      </c>
      <c r="H64" s="103">
        <f t="shared" si="8"/>
        <v>51.61999999999978</v>
      </c>
      <c r="I64" s="103">
        <f t="shared" si="6"/>
        <v>448.4000000000006</v>
      </c>
      <c r="K64" s="152"/>
    </row>
    <row r="65" spans="1:11" s="32" customFormat="1" ht="18.75" hidden="1" thickBot="1">
      <c r="A65" s="73" t="s">
        <v>76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93"/>
      <c r="K65" s="152">
        <f>C65-B65</f>
        <v>0</v>
      </c>
    </row>
    <row r="66" spans="1:11" s="32" customFormat="1" ht="18.75" hidden="1" thickBot="1">
      <c r="A66" s="73" t="s">
        <v>62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93"/>
      <c r="K66" s="152">
        <f>C66-B66</f>
        <v>0</v>
      </c>
    </row>
    <row r="67" spans="1:11" s="32" customFormat="1" ht="18.75" hidden="1" thickBot="1">
      <c r="A67" s="73" t="s">
        <v>63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93"/>
      <c r="K67" s="152">
        <f>C67-B67</f>
        <v>0</v>
      </c>
    </row>
    <row r="68" spans="1:11" s="32" customFormat="1" ht="18.75" hidden="1" thickBot="1">
      <c r="A68" s="73" t="s">
        <v>64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93"/>
      <c r="K68" s="152">
        <f>C68-B68</f>
        <v>0</v>
      </c>
    </row>
    <row r="69" spans="1:11" ht="18.75" thickBot="1">
      <c r="A69" s="20" t="s">
        <v>20</v>
      </c>
      <c r="B69" s="38">
        <f>B70+B71</f>
        <v>340.36</v>
      </c>
      <c r="C69" s="38">
        <f>C70+C71</f>
        <v>555.8</v>
      </c>
      <c r="D69" s="39">
        <f>D70+D71</f>
        <v>169.5</v>
      </c>
      <c r="E69" s="30">
        <f>D69/D153*100</f>
        <v>0.030397845931521818</v>
      </c>
      <c r="F69" s="3">
        <f>D69/B69*100</f>
        <v>49.80021154072159</v>
      </c>
      <c r="G69" s="3">
        <f t="shared" si="5"/>
        <v>30.49658150413818</v>
      </c>
      <c r="H69" s="39">
        <f>B69-D69</f>
        <v>170.86</v>
      </c>
      <c r="I69" s="39">
        <f t="shared" si="6"/>
        <v>386.29999999999995</v>
      </c>
      <c r="J69" s="92"/>
      <c r="K69" s="152"/>
    </row>
    <row r="70" spans="1:11" s="92" customFormat="1" ht="18">
      <c r="A70" s="101" t="s">
        <v>8</v>
      </c>
      <c r="B70" s="125">
        <v>250.36</v>
      </c>
      <c r="C70" s="126">
        <v>292.7</v>
      </c>
      <c r="D70" s="103">
        <v>169.5</v>
      </c>
      <c r="E70" s="105">
        <f>D70/D69*100</f>
        <v>100</v>
      </c>
      <c r="F70" s="105">
        <f t="shared" si="7"/>
        <v>67.70250838792138</v>
      </c>
      <c r="G70" s="105">
        <f t="shared" si="5"/>
        <v>57.90912196788521</v>
      </c>
      <c r="H70" s="103">
        <f t="shared" si="8"/>
        <v>80.86000000000001</v>
      </c>
      <c r="I70" s="103">
        <f t="shared" si="6"/>
        <v>123.19999999999999</v>
      </c>
      <c r="K70" s="152"/>
    </row>
    <row r="71" spans="1:11" s="92" customFormat="1" ht="18.75" thickBot="1">
      <c r="A71" s="101" t="s">
        <v>9</v>
      </c>
      <c r="B71" s="125">
        <v>90</v>
      </c>
      <c r="C71" s="126">
        <f>293.1-30</f>
        <v>263.1</v>
      </c>
      <c r="D71" s="103"/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90</v>
      </c>
      <c r="I71" s="103">
        <f t="shared" si="6"/>
        <v>263.1</v>
      </c>
      <c r="K71" s="152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2"/>
      <c r="K72" s="152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2"/>
      <c r="K73" s="152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2"/>
      <c r="K74" s="152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2"/>
      <c r="K75" s="152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2"/>
      <c r="K76" s="152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3"/>
      <c r="K77" s="152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5"/>
      <c r="J78" s="92"/>
      <c r="K78" s="152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2"/>
      <c r="K79" s="152"/>
    </row>
    <row r="80" spans="1:11" s="8" customFormat="1" ht="18" hidden="1">
      <c r="A80" s="9" t="s">
        <v>55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4"/>
      <c r="K80" s="152"/>
    </row>
    <row r="81" spans="1:11" s="8" customFormat="1" ht="32.25" hidden="1">
      <c r="A81" s="9" t="s">
        <v>53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4"/>
      <c r="K81" s="152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4"/>
      <c r="K82" s="152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4"/>
      <c r="K83" s="152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2"/>
      <c r="K84" s="152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2"/>
      <c r="K85" s="152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2"/>
      <c r="K86" s="152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2"/>
      <c r="K87" s="152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2"/>
      <c r="K88" s="152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2"/>
      <c r="K89" s="152"/>
    </row>
    <row r="90" spans="1:11" ht="18.75" thickBot="1">
      <c r="A90" s="12" t="s">
        <v>10</v>
      </c>
      <c r="B90" s="44">
        <v>87211.2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</f>
        <v>62645.50000000001</v>
      </c>
      <c r="E90" s="3">
        <f>D90/D153*100</f>
        <v>11.234738981139529</v>
      </c>
      <c r="F90" s="3">
        <f aca="true" t="shared" si="11" ref="F90:F96">D90/B90*100</f>
        <v>71.83194360357386</v>
      </c>
      <c r="G90" s="3">
        <f t="shared" si="9"/>
        <v>30.916964836520673</v>
      </c>
      <c r="H90" s="39">
        <f aca="true" t="shared" si="12" ref="H90:H96">B90-D90</f>
        <v>24565.69999999999</v>
      </c>
      <c r="I90" s="39">
        <f t="shared" si="10"/>
        <v>139979.5</v>
      </c>
      <c r="J90" s="167"/>
      <c r="K90" s="152"/>
    </row>
    <row r="91" spans="1:11" s="92" customFormat="1" ht="18">
      <c r="A91" s="101" t="s">
        <v>3</v>
      </c>
      <c r="B91" s="125">
        <v>82395.6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</f>
        <v>60159.80999999998</v>
      </c>
      <c r="E91" s="105">
        <f>D91/D90*100</f>
        <v>96.03213319392451</v>
      </c>
      <c r="F91" s="105">
        <f t="shared" si="11"/>
        <v>73.01337692789419</v>
      </c>
      <c r="G91" s="105">
        <f t="shared" si="9"/>
        <v>31.67084225438568</v>
      </c>
      <c r="H91" s="103">
        <f t="shared" si="12"/>
        <v>22235.790000000023</v>
      </c>
      <c r="I91" s="103">
        <f t="shared" si="10"/>
        <v>129793.49</v>
      </c>
      <c r="J91" s="167"/>
      <c r="K91" s="152"/>
    </row>
    <row r="92" spans="1:11" s="92" customFormat="1" ht="18">
      <c r="A92" s="101" t="s">
        <v>25</v>
      </c>
      <c r="B92" s="125">
        <v>1437.9</v>
      </c>
      <c r="C92" s="126">
        <v>2776.4</v>
      </c>
      <c r="D92" s="103">
        <f>57.2+3.4+167+1.4+0.3+83.4+86.9+53.1+5.3+4.7+17+71.3+284.2+22.2+4.8+1.6+54.8</f>
        <v>918.6</v>
      </c>
      <c r="E92" s="105">
        <f>D92/D90*100</f>
        <v>1.4663463457071935</v>
      </c>
      <c r="F92" s="105">
        <f t="shared" si="11"/>
        <v>63.88483204673482</v>
      </c>
      <c r="G92" s="105">
        <f t="shared" si="9"/>
        <v>33.086010661288</v>
      </c>
      <c r="H92" s="103">
        <f t="shared" si="12"/>
        <v>519.3000000000001</v>
      </c>
      <c r="I92" s="103">
        <f t="shared" si="10"/>
        <v>1857.8000000000002</v>
      </c>
      <c r="J92" s="167"/>
      <c r="K92" s="152"/>
    </row>
    <row r="93" spans="1:11" s="92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J93" s="167"/>
      <c r="K93" s="152">
        <f aca="true" t="shared" si="13" ref="K93:K101">C93-B93</f>
        <v>0</v>
      </c>
    </row>
    <row r="94" spans="1:11" s="92" customFormat="1" ht="18.75" thickBot="1">
      <c r="A94" s="101" t="s">
        <v>27</v>
      </c>
      <c r="B94" s="126">
        <f>B90-B91-B92-B93</f>
        <v>3377.699999999991</v>
      </c>
      <c r="C94" s="126">
        <f>C90-C91-C92-C93</f>
        <v>9895.300000000012</v>
      </c>
      <c r="D94" s="126">
        <f>D90-D91-D92-D93</f>
        <v>1567.0900000000242</v>
      </c>
      <c r="E94" s="105">
        <f>D94/D90*100</f>
        <v>2.5015204603683014</v>
      </c>
      <c r="F94" s="105">
        <f t="shared" si="11"/>
        <v>46.3951801521754</v>
      </c>
      <c r="G94" s="105">
        <f>D94/C94*100</f>
        <v>15.836710357442648</v>
      </c>
      <c r="H94" s="103">
        <f t="shared" si="12"/>
        <v>1810.609999999967</v>
      </c>
      <c r="I94" s="103">
        <f>C94-D94</f>
        <v>8328.209999999988</v>
      </c>
      <c r="J94" s="167"/>
      <c r="K94" s="152"/>
    </row>
    <row r="95" spans="1:11" ht="18">
      <c r="A95" s="81" t="s">
        <v>12</v>
      </c>
      <c r="B95" s="90">
        <v>19652.3</v>
      </c>
      <c r="C95" s="84">
        <f>46414.5+100+39.4+1153.5</f>
        <v>47707.4</v>
      </c>
      <c r="D95" s="83">
        <f>627.6+194.6+194.6+1234+510.7+28.2+0.5+182.1+337.6+34.8+102.9+588.2+1248.7+97.9+0.7+344.5+13.1+160.3+129.6+35.4+41.5+435.1+0.1+121.2+1271.9+622+440.2+48.6+182.4+14+90.9+350.8+315.3+126.1</f>
        <v>10126.1</v>
      </c>
      <c r="E95" s="80">
        <f>D95/D153*100</f>
        <v>1.815997803464207</v>
      </c>
      <c r="F95" s="82">
        <f t="shared" si="11"/>
        <v>51.5262844552546</v>
      </c>
      <c r="G95" s="79">
        <f>D95/C95*100</f>
        <v>21.225428340257483</v>
      </c>
      <c r="H95" s="83">
        <f t="shared" si="12"/>
        <v>9526.199999999999</v>
      </c>
      <c r="I95" s="86">
        <f>C95-D95</f>
        <v>37581.3</v>
      </c>
      <c r="J95" s="92"/>
      <c r="K95" s="152"/>
    </row>
    <row r="96" spans="1:11" s="92" customFormat="1" ht="18.75" thickBot="1">
      <c r="A96" s="128" t="s">
        <v>83</v>
      </c>
      <c r="B96" s="129">
        <v>5686.3</v>
      </c>
      <c r="C96" s="130">
        <v>12814.2</v>
      </c>
      <c r="D96" s="131">
        <f>194.6+1234+3.4+0.5+79.6+1026.4+0.7+86.4+939.3+4.2</f>
        <v>3569.0999999999995</v>
      </c>
      <c r="E96" s="132">
        <f>D96/D95*100</f>
        <v>35.24654111652067</v>
      </c>
      <c r="F96" s="133">
        <f t="shared" si="11"/>
        <v>62.76664966674286</v>
      </c>
      <c r="G96" s="134">
        <f>D96/C96*100</f>
        <v>27.852694666853957</v>
      </c>
      <c r="H96" s="135">
        <f t="shared" si="12"/>
        <v>2117.2000000000007</v>
      </c>
      <c r="I96" s="124">
        <f>C96-D96</f>
        <v>9245.100000000002</v>
      </c>
      <c r="K96" s="152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2"/>
      <c r="K97" s="152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2"/>
      <c r="K98" s="152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5"/>
      <c r="J99" s="92"/>
      <c r="K99" s="152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5"/>
      <c r="K100" s="152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3"/>
      <c r="F101" s="6"/>
      <c r="G101" s="6"/>
      <c r="H101" s="51"/>
      <c r="I101" s="85"/>
      <c r="J101" s="92"/>
      <c r="K101" s="152">
        <f t="shared" si="13"/>
        <v>0</v>
      </c>
    </row>
    <row r="102" spans="1:11" s="32" customFormat="1" ht="18.75" thickBot="1">
      <c r="A102" s="12" t="s">
        <v>11</v>
      </c>
      <c r="B102" s="89">
        <v>5410.9</v>
      </c>
      <c r="C102" s="69">
        <f>11266.5-91.2</f>
        <v>11175.3</v>
      </c>
      <c r="D102" s="64">
        <f>144.5+120.5+0.1+30.9+51.6+143.8+13.5+25.2+149.6+13.2+89.8+139.8+98.3+5.4+242.1+58+93.2+85.3+255.7+143.6+0.2+288+23.7+143.3+300.5+112.9+1.3+105.1+102.9+152.8+111.4+8.9+27.7+4.2</f>
        <v>3287.0000000000005</v>
      </c>
      <c r="E102" s="17">
        <f>D102/D153*100</f>
        <v>0.5894850712502196</v>
      </c>
      <c r="F102" s="17">
        <f>D102/B102*100</f>
        <v>60.747749912214246</v>
      </c>
      <c r="G102" s="17">
        <f aca="true" t="shared" si="14" ref="G102:G151">D102/C102*100</f>
        <v>29.413080633182116</v>
      </c>
      <c r="H102" s="64">
        <f aca="true" t="shared" si="15" ref="H102:H107">B102-D102</f>
        <v>2123.899999999999</v>
      </c>
      <c r="I102" s="64">
        <f aca="true" t="shared" si="16" ref="I102:I151">C102-D102</f>
        <v>7888.299999999999</v>
      </c>
      <c r="J102" s="93"/>
      <c r="K102" s="152"/>
    </row>
    <row r="103" spans="1:11" s="92" customFormat="1" ht="18.75" customHeight="1">
      <c r="A103" s="101" t="s">
        <v>3</v>
      </c>
      <c r="B103" s="117">
        <v>109.13</v>
      </c>
      <c r="C103" s="118">
        <v>363.8</v>
      </c>
      <c r="D103" s="118"/>
      <c r="E103" s="119">
        <f>D103/D102*100</f>
        <v>0</v>
      </c>
      <c r="F103" s="105">
        <f>D103/B103*100</f>
        <v>0</v>
      </c>
      <c r="G103" s="119">
        <f>D103/C103*100</f>
        <v>0</v>
      </c>
      <c r="H103" s="118">
        <f t="shared" si="15"/>
        <v>109.13</v>
      </c>
      <c r="I103" s="118">
        <f t="shared" si="16"/>
        <v>363.8</v>
      </c>
      <c r="K103" s="152"/>
    </row>
    <row r="104" spans="1:11" s="92" customFormat="1" ht="18">
      <c r="A104" s="120" t="s">
        <v>48</v>
      </c>
      <c r="B104" s="102">
        <v>4556.9</v>
      </c>
      <c r="C104" s="103">
        <f>8949.2-91.2</f>
        <v>8858</v>
      </c>
      <c r="D104" s="103">
        <f>144.4+120.5+0.1+30.9+51.6+143.7+13.5+25.2+149.6+13.2+89.8+139.7+98.3+5.4+242.1+58+85.3+255.7+143.8+288+14+143.1+279.2+72.1+105.1+85.1+152.8+111.4+4.2</f>
        <v>3065.7999999999997</v>
      </c>
      <c r="E104" s="105">
        <f>D104/D102*100</f>
        <v>93.27045938545784</v>
      </c>
      <c r="F104" s="105">
        <f aca="true" t="shared" si="17" ref="F104:F151">D104/B104*100</f>
        <v>67.27819350874498</v>
      </c>
      <c r="G104" s="105">
        <f t="shared" si="14"/>
        <v>34.61052156242944</v>
      </c>
      <c r="H104" s="103">
        <f t="shared" si="15"/>
        <v>1491.1</v>
      </c>
      <c r="I104" s="103">
        <f t="shared" si="16"/>
        <v>5792.200000000001</v>
      </c>
      <c r="K104" s="152"/>
    </row>
    <row r="105" spans="1:11" s="92" customFormat="1" ht="55.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K105" s="152"/>
    </row>
    <row r="106" spans="1:11" s="92" customFormat="1" ht="18.75" thickBot="1">
      <c r="A106" s="121" t="s">
        <v>27</v>
      </c>
      <c r="B106" s="122">
        <f>B102-B103-B104</f>
        <v>744.8699999999999</v>
      </c>
      <c r="C106" s="122">
        <f>C102-C103-C104</f>
        <v>1953.5</v>
      </c>
      <c r="D106" s="122">
        <f>D102-D103-D104</f>
        <v>221.20000000000073</v>
      </c>
      <c r="E106" s="123">
        <f>D106/D102*100</f>
        <v>6.729540614542157</v>
      </c>
      <c r="F106" s="123">
        <f t="shared" si="17"/>
        <v>29.69645709989673</v>
      </c>
      <c r="G106" s="123">
        <f t="shared" si="14"/>
        <v>11.323265932940913</v>
      </c>
      <c r="H106" s="124">
        <f>B106-D106</f>
        <v>523.6699999999992</v>
      </c>
      <c r="I106" s="124">
        <f t="shared" si="16"/>
        <v>1732.2999999999993</v>
      </c>
      <c r="K106" s="152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166912.89999999997</v>
      </c>
      <c r="C107" s="66">
        <f>SUM(C108:C150)-C115-C119+C151-C141-C142-C109-C112-C122-C123-C139-C132-C130-C137</f>
        <v>519888.10000000003</v>
      </c>
      <c r="D107" s="66">
        <f>SUM(D108:D150)-D115-D119+D151-D141-D142-D109-D112-D122-D123-D139-D132-D130-D137</f>
        <v>68572.8</v>
      </c>
      <c r="E107" s="67">
        <f>D107/D153*100</f>
        <v>12.297731029457577</v>
      </c>
      <c r="F107" s="67">
        <f>D107/B107*100</f>
        <v>41.082983999439236</v>
      </c>
      <c r="G107" s="67">
        <f t="shared" si="14"/>
        <v>13.189915291386741</v>
      </c>
      <c r="H107" s="66">
        <f t="shared" si="15"/>
        <v>98340.09999999996</v>
      </c>
      <c r="I107" s="66">
        <f t="shared" si="16"/>
        <v>451315.30000000005</v>
      </c>
      <c r="J107" s="112"/>
      <c r="K107" s="152"/>
      <c r="L107" s="95"/>
    </row>
    <row r="108" spans="1:12" s="92" customFormat="1" ht="36.75">
      <c r="A108" s="96" t="s">
        <v>52</v>
      </c>
      <c r="B108" s="162">
        <v>1966.6</v>
      </c>
      <c r="C108" s="158">
        <v>4459</v>
      </c>
      <c r="D108" s="97">
        <f>17.1+81.1+17.3+60.5+173.3+3.4+2+0.4+29.3+1.7+177.1+0.8+38.8+139.8+0.3+1.9+1.8+6.5+136+91.3+0.1+1.8+1.1+2.4+3.5+2+3.4</f>
        <v>994.6999999999997</v>
      </c>
      <c r="E108" s="98">
        <f>D108/D107*100</f>
        <v>1.4505751551635628</v>
      </c>
      <c r="F108" s="98">
        <f t="shared" si="17"/>
        <v>50.57968066714125</v>
      </c>
      <c r="G108" s="98">
        <f t="shared" si="14"/>
        <v>22.3076923076923</v>
      </c>
      <c r="H108" s="99">
        <f>B108-D108</f>
        <v>971.9000000000002</v>
      </c>
      <c r="I108" s="99">
        <f t="shared" si="16"/>
        <v>3464.3</v>
      </c>
      <c r="K108" s="152"/>
      <c r="L108" s="100"/>
    </row>
    <row r="109" spans="1:12" s="92" customFormat="1" ht="18">
      <c r="A109" s="101" t="s">
        <v>25</v>
      </c>
      <c r="B109" s="163">
        <v>923</v>
      </c>
      <c r="C109" s="103">
        <v>1995</v>
      </c>
      <c r="D109" s="104">
        <f>47.8+0.9+59.7+88.3+0.1+59.2+38.8+107.4+24+91.1</f>
        <v>517.3000000000001</v>
      </c>
      <c r="E109" s="105">
        <f>D109/D108*100</f>
        <v>52.00562983814218</v>
      </c>
      <c r="F109" s="105">
        <f t="shared" si="17"/>
        <v>56.045503791982675</v>
      </c>
      <c r="G109" s="105">
        <f t="shared" si="14"/>
        <v>25.929824561403514</v>
      </c>
      <c r="H109" s="103">
        <f aca="true" t="shared" si="18" ref="H109:H151">B109-D109</f>
        <v>405.69999999999993</v>
      </c>
      <c r="I109" s="103">
        <f t="shared" si="16"/>
        <v>1477.6999999999998</v>
      </c>
      <c r="K109" s="152"/>
      <c r="L109" s="100"/>
    </row>
    <row r="110" spans="1:12" s="92" customFormat="1" ht="34.5" customHeight="1" hidden="1">
      <c r="A110" s="106" t="s">
        <v>78</v>
      </c>
      <c r="B110" s="161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2"/>
      <c r="L110" s="100"/>
    </row>
    <row r="111" spans="1:12" s="93" customFormat="1" ht="34.5" customHeight="1">
      <c r="A111" s="106" t="s">
        <v>93</v>
      </c>
      <c r="B111" s="164">
        <v>96</v>
      </c>
      <c r="C111" s="107">
        <v>200</v>
      </c>
      <c r="D111" s="108"/>
      <c r="E111" s="98">
        <f>D111/D107*100</f>
        <v>0</v>
      </c>
      <c r="F111" s="109">
        <f t="shared" si="17"/>
        <v>0</v>
      </c>
      <c r="G111" s="98">
        <f t="shared" si="14"/>
        <v>0</v>
      </c>
      <c r="H111" s="99">
        <f t="shared" si="18"/>
        <v>96</v>
      </c>
      <c r="I111" s="99">
        <f t="shared" si="16"/>
        <v>200</v>
      </c>
      <c r="K111" s="152"/>
      <c r="L111" s="100"/>
    </row>
    <row r="112" spans="1:12" s="92" customFormat="1" ht="18" hidden="1">
      <c r="A112" s="101" t="s">
        <v>25</v>
      </c>
      <c r="B112" s="160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2"/>
      <c r="L112" s="100"/>
    </row>
    <row r="113" spans="1:12" s="92" customFormat="1" ht="18">
      <c r="A113" s="106" t="s">
        <v>89</v>
      </c>
      <c r="B113" s="164">
        <v>35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35</v>
      </c>
      <c r="I113" s="99">
        <f t="shared" si="16"/>
        <v>64.3</v>
      </c>
      <c r="K113" s="152"/>
      <c r="L113" s="100"/>
    </row>
    <row r="114" spans="1:12" s="92" customFormat="1" ht="36.75">
      <c r="A114" s="106" t="s">
        <v>38</v>
      </c>
      <c r="B114" s="164">
        <v>1415.3</v>
      </c>
      <c r="C114" s="99">
        <v>3311.5</v>
      </c>
      <c r="D114" s="97">
        <f>136.4+10+40+6.6+6.1+0.2+177.4+10+1.8+25.1+29.4+48.1+8.1+193.1+10+0.1+17.8+8.8+132.4+79.7+12.6</f>
        <v>953.7</v>
      </c>
      <c r="E114" s="98">
        <f>D114/D107*100</f>
        <v>1.3907846843063139</v>
      </c>
      <c r="F114" s="98">
        <f t="shared" si="17"/>
        <v>67.38500671235781</v>
      </c>
      <c r="G114" s="98">
        <f t="shared" si="14"/>
        <v>28.799637626453272</v>
      </c>
      <c r="H114" s="99">
        <f t="shared" si="18"/>
        <v>461.5999999999999</v>
      </c>
      <c r="I114" s="99">
        <f t="shared" si="16"/>
        <v>2357.8</v>
      </c>
      <c r="K114" s="152"/>
      <c r="L114" s="100"/>
    </row>
    <row r="115" spans="1:12" s="92" customFormat="1" ht="18" hidden="1">
      <c r="A115" s="110" t="s">
        <v>43</v>
      </c>
      <c r="B115" s="160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2"/>
      <c r="L115" s="100"/>
    </row>
    <row r="116" spans="1:12" s="93" customFormat="1" ht="18.75" customHeight="1" hidden="1">
      <c r="A116" s="106" t="s">
        <v>90</v>
      </c>
      <c r="B116" s="161"/>
      <c r="C116" s="107"/>
      <c r="D116" s="108"/>
      <c r="E116" s="111">
        <f>D116/D107*100</f>
        <v>0</v>
      </c>
      <c r="F116" s="98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52"/>
      <c r="L116" s="100"/>
    </row>
    <row r="117" spans="1:12" s="92" customFormat="1" ht="36.75">
      <c r="A117" s="106" t="s">
        <v>47</v>
      </c>
      <c r="B117" s="164">
        <v>149</v>
      </c>
      <c r="C117" s="99">
        <v>200</v>
      </c>
      <c r="D117" s="97">
        <v>15</v>
      </c>
      <c r="E117" s="98">
        <f>D117/D107*100</f>
        <v>0.021874562508749824</v>
      </c>
      <c r="F117" s="98">
        <f>D117/B117*100</f>
        <v>10.06711409395973</v>
      </c>
      <c r="G117" s="98">
        <f t="shared" si="14"/>
        <v>7.5</v>
      </c>
      <c r="H117" s="99">
        <f t="shared" si="18"/>
        <v>134</v>
      </c>
      <c r="I117" s="99">
        <f t="shared" si="16"/>
        <v>185</v>
      </c>
      <c r="K117" s="152"/>
      <c r="L117" s="100"/>
    </row>
    <row r="118" spans="1:12" s="112" customFormat="1" ht="18">
      <c r="A118" s="106" t="s">
        <v>15</v>
      </c>
      <c r="B118" s="164">
        <v>261.3</v>
      </c>
      <c r="C118" s="107">
        <v>491.6</v>
      </c>
      <c r="D118" s="97">
        <f>45.4+9.9+47+6.4+0.4+0.4+45.4+0.4+2.9+45.4+4</f>
        <v>207.60000000000002</v>
      </c>
      <c r="E118" s="98">
        <f>D118/D107*100</f>
        <v>0.3027439451210976</v>
      </c>
      <c r="F118" s="98">
        <f t="shared" si="17"/>
        <v>79.44890929965558</v>
      </c>
      <c r="G118" s="98">
        <f t="shared" si="14"/>
        <v>42.229454841334416</v>
      </c>
      <c r="H118" s="99">
        <f t="shared" si="18"/>
        <v>53.69999999999999</v>
      </c>
      <c r="I118" s="99">
        <f t="shared" si="16"/>
        <v>284</v>
      </c>
      <c r="K118" s="152"/>
      <c r="L118" s="100"/>
    </row>
    <row r="119" spans="1:12" s="113" customFormat="1" ht="18">
      <c r="A119" s="110" t="s">
        <v>43</v>
      </c>
      <c r="B119" s="163">
        <v>227.1</v>
      </c>
      <c r="C119" s="103">
        <v>408.8</v>
      </c>
      <c r="D119" s="104">
        <f>45.4+45.4+45.4+45.4</f>
        <v>181.6</v>
      </c>
      <c r="E119" s="105">
        <f>D119/D118*100</f>
        <v>87.47591522157995</v>
      </c>
      <c r="F119" s="105">
        <f t="shared" si="17"/>
        <v>79.96477322765301</v>
      </c>
      <c r="G119" s="105">
        <f t="shared" si="14"/>
        <v>44.422700587084144</v>
      </c>
      <c r="H119" s="103">
        <f t="shared" si="18"/>
        <v>45.5</v>
      </c>
      <c r="I119" s="103">
        <f t="shared" si="16"/>
        <v>227.20000000000002</v>
      </c>
      <c r="K119" s="152"/>
      <c r="L119" s="100"/>
    </row>
    <row r="120" spans="1:12" s="112" customFormat="1" ht="18">
      <c r="A120" s="106" t="s">
        <v>105</v>
      </c>
      <c r="B120" s="164">
        <v>85</v>
      </c>
      <c r="C120" s="107">
        <v>317</v>
      </c>
      <c r="D120" s="97"/>
      <c r="E120" s="98">
        <f>D120/D107*100</f>
        <v>0</v>
      </c>
      <c r="F120" s="98">
        <f t="shared" si="17"/>
        <v>0</v>
      </c>
      <c r="G120" s="98">
        <f t="shared" si="14"/>
        <v>0</v>
      </c>
      <c r="H120" s="99">
        <f t="shared" si="18"/>
        <v>85</v>
      </c>
      <c r="I120" s="99">
        <f t="shared" si="16"/>
        <v>317</v>
      </c>
      <c r="K120" s="152"/>
      <c r="L120" s="100"/>
    </row>
    <row r="121" spans="1:12" s="112" customFormat="1" ht="21.75" customHeight="1">
      <c r="A121" s="106" t="s">
        <v>94</v>
      </c>
      <c r="B121" s="164">
        <v>480</v>
      </c>
      <c r="C121" s="107">
        <f>480+80</f>
        <v>560</v>
      </c>
      <c r="D121" s="108">
        <f>12</f>
        <v>12</v>
      </c>
      <c r="E121" s="111">
        <f>D121/D107*100</f>
        <v>0.017499650006999858</v>
      </c>
      <c r="F121" s="98">
        <f t="shared" si="17"/>
        <v>2.5</v>
      </c>
      <c r="G121" s="98">
        <f t="shared" si="14"/>
        <v>2.142857142857143</v>
      </c>
      <c r="H121" s="99">
        <f t="shared" si="18"/>
        <v>468</v>
      </c>
      <c r="I121" s="99">
        <f t="shared" si="16"/>
        <v>548</v>
      </c>
      <c r="K121" s="152"/>
      <c r="L121" s="100"/>
    </row>
    <row r="122" spans="1:12" s="115" customFormat="1" ht="18" hidden="1">
      <c r="A122" s="101" t="s">
        <v>80</v>
      </c>
      <c r="B122" s="160"/>
      <c r="C122" s="103"/>
      <c r="D122" s="104"/>
      <c r="E122" s="98"/>
      <c r="F122" s="114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2"/>
      <c r="L122" s="100"/>
    </row>
    <row r="123" spans="1:12" s="115" customFormat="1" ht="18" hidden="1">
      <c r="A123" s="101" t="s">
        <v>49</v>
      </c>
      <c r="B123" s="160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2"/>
      <c r="L123" s="100"/>
    </row>
    <row r="124" spans="1:12" s="112" customFormat="1" ht="36.75">
      <c r="A124" s="106" t="s">
        <v>95</v>
      </c>
      <c r="B124" s="164">
        <v>19961</v>
      </c>
      <c r="C124" s="107">
        <v>45511.3</v>
      </c>
      <c r="D124" s="108">
        <f>3529.6+2264.3+1265.3+2996.5+533.1+738.7+2380.2+1722.3+1049.4</f>
        <v>16479.4</v>
      </c>
      <c r="E124" s="111">
        <f>D124/D107*100</f>
        <v>24.031977693779456</v>
      </c>
      <c r="F124" s="98">
        <f t="shared" si="17"/>
        <v>82.55798807674967</v>
      </c>
      <c r="G124" s="98">
        <f t="shared" si="14"/>
        <v>36.209468857184916</v>
      </c>
      <c r="H124" s="99">
        <f t="shared" si="18"/>
        <v>3481.5999999999985</v>
      </c>
      <c r="I124" s="99">
        <f t="shared" si="16"/>
        <v>29031.9</v>
      </c>
      <c r="K124" s="152"/>
      <c r="L124" s="100"/>
    </row>
    <row r="125" spans="1:12" s="112" customFormat="1" ht="18">
      <c r="A125" s="106" t="s">
        <v>91</v>
      </c>
      <c r="B125" s="164">
        <v>100</v>
      </c>
      <c r="C125" s="107">
        <v>700</v>
      </c>
      <c r="D125" s="108"/>
      <c r="E125" s="111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100</v>
      </c>
      <c r="I125" s="99">
        <f t="shared" si="16"/>
        <v>700</v>
      </c>
      <c r="K125" s="152"/>
      <c r="L125" s="100"/>
    </row>
    <row r="126" spans="1:12" s="112" customFormat="1" ht="36.75">
      <c r="A126" s="106" t="s">
        <v>100</v>
      </c>
      <c r="B126" s="164">
        <v>200</v>
      </c>
      <c r="C126" s="107">
        <v>200</v>
      </c>
      <c r="D126" s="108"/>
      <c r="E126" s="111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200</v>
      </c>
      <c r="I126" s="99">
        <f t="shared" si="16"/>
        <v>200</v>
      </c>
      <c r="K126" s="152"/>
      <c r="L126" s="100"/>
    </row>
    <row r="127" spans="1:12" s="112" customFormat="1" ht="36.75">
      <c r="A127" s="106" t="s">
        <v>85</v>
      </c>
      <c r="B127" s="164">
        <v>74</v>
      </c>
      <c r="C127" s="107">
        <f>111.1</f>
        <v>111.1</v>
      </c>
      <c r="D127" s="108"/>
      <c r="E127" s="111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2"/>
      <c r="L127" s="100"/>
    </row>
    <row r="128" spans="1:12" s="112" customFormat="1" ht="18" hidden="1">
      <c r="A128" s="110" t="s">
        <v>83</v>
      </c>
      <c r="B128" s="161"/>
      <c r="C128" s="107"/>
      <c r="D128" s="108"/>
      <c r="E128" s="111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2"/>
      <c r="L128" s="100"/>
    </row>
    <row r="129" spans="1:12" s="112" customFormat="1" ht="36.75">
      <c r="A129" s="106" t="s">
        <v>57</v>
      </c>
      <c r="B129" s="164">
        <v>248.4</v>
      </c>
      <c r="C129" s="107">
        <v>942</v>
      </c>
      <c r="D129" s="108">
        <f>7+4.2+0.1+12.3+0.2+7.1+17.8+14.9+1.7+0.1+7.4+7+2.7+3.7+7.1</f>
        <v>93.3</v>
      </c>
      <c r="E129" s="111">
        <f>D129/D107*100</f>
        <v>0.1360597788044239</v>
      </c>
      <c r="F129" s="98">
        <f t="shared" si="17"/>
        <v>37.56038647342995</v>
      </c>
      <c r="G129" s="98">
        <f t="shared" si="14"/>
        <v>9.904458598726114</v>
      </c>
      <c r="H129" s="99">
        <f t="shared" si="18"/>
        <v>155.10000000000002</v>
      </c>
      <c r="I129" s="99">
        <f t="shared" si="16"/>
        <v>848.7</v>
      </c>
      <c r="K129" s="152"/>
      <c r="L129" s="100"/>
    </row>
    <row r="130" spans="1:12" s="113" customFormat="1" ht="18">
      <c r="A130" s="101" t="s">
        <v>88</v>
      </c>
      <c r="B130" s="163">
        <v>52.95</v>
      </c>
      <c r="C130" s="103">
        <v>510.8</v>
      </c>
      <c r="D130" s="104">
        <f>7+7.1+7+7.1</f>
        <v>28.200000000000003</v>
      </c>
      <c r="E130" s="105">
        <f>D130/D129*100</f>
        <v>30.225080385852092</v>
      </c>
      <c r="F130" s="105">
        <f>D130/B130*100</f>
        <v>53.25779036827196</v>
      </c>
      <c r="G130" s="105">
        <f t="shared" si="14"/>
        <v>5.520751761942052</v>
      </c>
      <c r="H130" s="103">
        <f t="shared" si="18"/>
        <v>24.75</v>
      </c>
      <c r="I130" s="103">
        <f t="shared" si="16"/>
        <v>482.6</v>
      </c>
      <c r="K130" s="152"/>
      <c r="L130" s="100"/>
    </row>
    <row r="131" spans="1:12" s="112" customFormat="1" ht="36.75">
      <c r="A131" s="106" t="s">
        <v>103</v>
      </c>
      <c r="B131" s="164">
        <v>160</v>
      </c>
      <c r="C131" s="107">
        <v>485</v>
      </c>
      <c r="D131" s="108"/>
      <c r="E131" s="111">
        <f>D131/D107*100</f>
        <v>0</v>
      </c>
      <c r="F131" s="109">
        <f t="shared" si="17"/>
        <v>0</v>
      </c>
      <c r="G131" s="98">
        <f t="shared" si="14"/>
        <v>0</v>
      </c>
      <c r="H131" s="99">
        <f t="shared" si="18"/>
        <v>160</v>
      </c>
      <c r="I131" s="99">
        <f t="shared" si="16"/>
        <v>485</v>
      </c>
      <c r="K131" s="152"/>
      <c r="L131" s="100"/>
    </row>
    <row r="132" spans="1:12" s="113" customFormat="1" ht="18" hidden="1">
      <c r="A132" s="110" t="s">
        <v>43</v>
      </c>
      <c r="B132" s="160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2"/>
      <c r="L132" s="100"/>
    </row>
    <row r="133" spans="1:12" s="112" customFormat="1" ht="35.25" customHeight="1" hidden="1">
      <c r="A133" s="106" t="s">
        <v>102</v>
      </c>
      <c r="B133" s="161"/>
      <c r="C133" s="107"/>
      <c r="D133" s="108"/>
      <c r="E133" s="111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2"/>
      <c r="L133" s="100"/>
    </row>
    <row r="134" spans="1:12" s="112" customFormat="1" ht="21.75" customHeight="1" hidden="1">
      <c r="A134" s="106" t="s">
        <v>101</v>
      </c>
      <c r="B134" s="161"/>
      <c r="C134" s="107"/>
      <c r="D134" s="108"/>
      <c r="E134" s="111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2"/>
      <c r="L134" s="100"/>
    </row>
    <row r="135" spans="1:12" s="112" customFormat="1" ht="35.25" customHeight="1">
      <c r="A135" s="106" t="s">
        <v>87</v>
      </c>
      <c r="B135" s="164">
        <v>140</v>
      </c>
      <c r="C135" s="107">
        <v>383.2</v>
      </c>
      <c r="D135" s="108">
        <f>2.9+1.5+9.7</f>
        <v>14.1</v>
      </c>
      <c r="E135" s="111">
        <f>D135/D107*100</f>
        <v>0.020562088758224833</v>
      </c>
      <c r="F135" s="98">
        <f t="shared" si="17"/>
        <v>10.071428571428571</v>
      </c>
      <c r="G135" s="98">
        <f t="shared" si="14"/>
        <v>3.6795407098121085</v>
      </c>
      <c r="H135" s="99">
        <f t="shared" si="18"/>
        <v>125.9</v>
      </c>
      <c r="I135" s="99">
        <f t="shared" si="16"/>
        <v>369.09999999999997</v>
      </c>
      <c r="K135" s="152"/>
      <c r="L135" s="100"/>
    </row>
    <row r="136" spans="1:12" s="112" customFormat="1" ht="39" customHeight="1">
      <c r="A136" s="106" t="s">
        <v>54</v>
      </c>
      <c r="B136" s="164">
        <v>80</v>
      </c>
      <c r="C136" s="107">
        <v>350</v>
      </c>
      <c r="D136" s="108"/>
      <c r="E136" s="111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80</v>
      </c>
      <c r="I136" s="99">
        <f t="shared" si="16"/>
        <v>350</v>
      </c>
      <c r="K136" s="152"/>
      <c r="L136" s="100"/>
    </row>
    <row r="137" spans="1:12" s="113" customFormat="1" ht="18">
      <c r="A137" s="101" t="s">
        <v>88</v>
      </c>
      <c r="B137" s="163">
        <v>26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26</v>
      </c>
      <c r="I137" s="103">
        <f>C137-D137</f>
        <v>110</v>
      </c>
      <c r="K137" s="152"/>
      <c r="L137" s="100"/>
    </row>
    <row r="138" spans="1:12" s="112" customFormat="1" ht="32.25" customHeight="1">
      <c r="A138" s="106" t="s">
        <v>84</v>
      </c>
      <c r="B138" s="164">
        <v>304.5</v>
      </c>
      <c r="C138" s="107">
        <v>607.7</v>
      </c>
      <c r="D138" s="108">
        <f>76+0.3+41+44+1.8+16.3</f>
        <v>179.40000000000003</v>
      </c>
      <c r="E138" s="111">
        <f>D138/D107*100</f>
        <v>0.26161976760464795</v>
      </c>
      <c r="F138" s="98">
        <f>D138/B138*100</f>
        <v>58.91625615763548</v>
      </c>
      <c r="G138" s="98">
        <f>D138/C138*100</f>
        <v>29.521145301958207</v>
      </c>
      <c r="H138" s="99">
        <f t="shared" si="18"/>
        <v>125.09999999999997</v>
      </c>
      <c r="I138" s="99">
        <f t="shared" si="16"/>
        <v>428.3</v>
      </c>
      <c r="K138" s="178"/>
      <c r="L138" s="179"/>
    </row>
    <row r="139" spans="1:12" s="113" customFormat="1" ht="18">
      <c r="A139" s="101" t="s">
        <v>25</v>
      </c>
      <c r="B139" s="163">
        <v>252</v>
      </c>
      <c r="C139" s="103">
        <v>489.6</v>
      </c>
      <c r="D139" s="104">
        <f>76+37.6+44+1.2</f>
        <v>158.79999999999998</v>
      </c>
      <c r="E139" s="105">
        <f>D139/D138*100</f>
        <v>88.51727982162762</v>
      </c>
      <c r="F139" s="105">
        <f t="shared" si="17"/>
        <v>63.01587301587301</v>
      </c>
      <c r="G139" s="105">
        <f>D139/C139*100</f>
        <v>32.43464052287581</v>
      </c>
      <c r="H139" s="103">
        <f t="shared" si="18"/>
        <v>93.20000000000002</v>
      </c>
      <c r="I139" s="103">
        <f t="shared" si="16"/>
        <v>330.80000000000007</v>
      </c>
      <c r="K139" s="178"/>
      <c r="L139" s="179"/>
    </row>
    <row r="140" spans="1:12" s="112" customFormat="1" ht="18">
      <c r="A140" s="106" t="s">
        <v>96</v>
      </c>
      <c r="B140" s="164">
        <v>711.8</v>
      </c>
      <c r="C140" s="107">
        <v>1760</v>
      </c>
      <c r="D140" s="108">
        <f>107.3+0.4+30.4+78.2+4.1+36.9+117.9+50.5+112.6</f>
        <v>538.3000000000001</v>
      </c>
      <c r="E140" s="111">
        <f>D140/D107*100</f>
        <v>0.7850051332306688</v>
      </c>
      <c r="F140" s="98">
        <f t="shared" si="17"/>
        <v>75.62517561112674</v>
      </c>
      <c r="G140" s="98">
        <f t="shared" si="14"/>
        <v>30.585227272727277</v>
      </c>
      <c r="H140" s="99">
        <f t="shared" si="18"/>
        <v>173.4999999999999</v>
      </c>
      <c r="I140" s="99">
        <f t="shared" si="16"/>
        <v>1221.6999999999998</v>
      </c>
      <c r="K140" s="178"/>
      <c r="L140" s="179"/>
    </row>
    <row r="141" spans="1:12" s="113" customFormat="1" ht="18">
      <c r="A141" s="110" t="s">
        <v>43</v>
      </c>
      <c r="B141" s="163">
        <v>570.5</v>
      </c>
      <c r="C141" s="103">
        <v>1437.4</v>
      </c>
      <c r="D141" s="104">
        <f>107.3+25.4+76+34+76.6+47.2+83.8</f>
        <v>450.29999999999995</v>
      </c>
      <c r="E141" s="105">
        <f>D141/D140*100</f>
        <v>83.65223852870145</v>
      </c>
      <c r="F141" s="105">
        <f aca="true" t="shared" si="19" ref="F141:F150">D141/B141*100</f>
        <v>78.9307624890447</v>
      </c>
      <c r="G141" s="105">
        <f t="shared" si="14"/>
        <v>31.32739668846528</v>
      </c>
      <c r="H141" s="103">
        <f t="shared" si="18"/>
        <v>120.20000000000005</v>
      </c>
      <c r="I141" s="103">
        <f t="shared" si="16"/>
        <v>987.1000000000001</v>
      </c>
      <c r="K141" s="178"/>
      <c r="L141" s="179"/>
    </row>
    <row r="142" spans="1:13" s="113" customFormat="1" ht="18">
      <c r="A142" s="101" t="s">
        <v>25</v>
      </c>
      <c r="B142" s="163">
        <v>26.7</v>
      </c>
      <c r="C142" s="103">
        <v>40</v>
      </c>
      <c r="D142" s="104">
        <f>0.4+4.9+0.7+4.7+3.3+0.4</f>
        <v>14.4</v>
      </c>
      <c r="E142" s="105">
        <f>D142/D140*100</f>
        <v>2.6750882407579413</v>
      </c>
      <c r="F142" s="105">
        <f t="shared" si="19"/>
        <v>53.93258426966292</v>
      </c>
      <c r="G142" s="105">
        <f>D142/C142*100</f>
        <v>36</v>
      </c>
      <c r="H142" s="103">
        <f t="shared" si="18"/>
        <v>12.299999999999999</v>
      </c>
      <c r="I142" s="103">
        <f t="shared" si="16"/>
        <v>25.6</v>
      </c>
      <c r="K142" s="178"/>
      <c r="L142" s="179"/>
      <c r="M142" s="153"/>
    </row>
    <row r="143" spans="1:12" s="112" customFormat="1" ht="33.75" customHeight="1" hidden="1">
      <c r="A143" s="116" t="s">
        <v>56</v>
      </c>
      <c r="B143" s="161"/>
      <c r="C143" s="107"/>
      <c r="D143" s="108"/>
      <c r="E143" s="111">
        <f>D143/D107*100</f>
        <v>0</v>
      </c>
      <c r="F143" s="98" t="e">
        <f t="shared" si="19"/>
        <v>#DIV/0!</v>
      </c>
      <c r="G143" s="98" t="e">
        <f t="shared" si="14"/>
        <v>#DIV/0!</v>
      </c>
      <c r="H143" s="99">
        <f t="shared" si="18"/>
        <v>0</v>
      </c>
      <c r="I143" s="99">
        <f t="shared" si="16"/>
        <v>0</v>
      </c>
      <c r="K143" s="178"/>
      <c r="L143" s="179"/>
    </row>
    <row r="144" spans="1:12" s="112" customFormat="1" ht="18" hidden="1">
      <c r="A144" s="116" t="s">
        <v>92</v>
      </c>
      <c r="B144" s="161"/>
      <c r="C144" s="107"/>
      <c r="D144" s="108"/>
      <c r="E144" s="111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78"/>
      <c r="L144" s="179"/>
    </row>
    <row r="145" spans="1:12" s="112" customFormat="1" ht="18">
      <c r="A145" s="116" t="s">
        <v>97</v>
      </c>
      <c r="B145" s="164">
        <v>18472</v>
      </c>
      <c r="C145" s="107">
        <f>56447.1-100+1500-3000</f>
        <v>54847.1</v>
      </c>
      <c r="D145" s="108">
        <f>254.7+197.5+629.8+725.8+539.8+84+74.2+508.7+16.5+120.5+1481.6+832.6+99.5+375.2+120.4+395.9+31.6+377+15.9+619.7</f>
        <v>7500.899999999999</v>
      </c>
      <c r="E145" s="111">
        <f>D145/D107*100</f>
        <v>10.938593728125436</v>
      </c>
      <c r="F145" s="98">
        <f t="shared" si="19"/>
        <v>40.606864443482024</v>
      </c>
      <c r="G145" s="98">
        <f t="shared" si="14"/>
        <v>13.676019333747815</v>
      </c>
      <c r="H145" s="99">
        <f t="shared" si="18"/>
        <v>10971.100000000002</v>
      </c>
      <c r="I145" s="99">
        <f t="shared" si="16"/>
        <v>47346.2</v>
      </c>
      <c r="K145" s="178"/>
      <c r="L145" s="179"/>
    </row>
    <row r="146" spans="1:12" s="112" customFormat="1" ht="18" hidden="1">
      <c r="A146" s="116" t="s">
        <v>86</v>
      </c>
      <c r="B146" s="161"/>
      <c r="C146" s="107"/>
      <c r="D146" s="108"/>
      <c r="E146" s="111">
        <f>D146/D107*100</f>
        <v>0</v>
      </c>
      <c r="F146" s="98" t="e">
        <f t="shared" si="19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78"/>
      <c r="L146" s="179"/>
    </row>
    <row r="147" spans="1:12" s="112" customFormat="1" ht="36.75" hidden="1">
      <c r="A147" s="116" t="s">
        <v>104</v>
      </c>
      <c r="B147" s="161"/>
      <c r="C147" s="107"/>
      <c r="D147" s="108"/>
      <c r="E147" s="111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8"/>
      <c r="L147" s="179"/>
    </row>
    <row r="148" spans="1:12" s="112" customFormat="1" ht="18">
      <c r="A148" s="106" t="s">
        <v>98</v>
      </c>
      <c r="B148" s="164">
        <v>46.4</v>
      </c>
      <c r="C148" s="107">
        <v>162.3</v>
      </c>
      <c r="D148" s="108">
        <f>46.4</f>
        <v>46.4</v>
      </c>
      <c r="E148" s="111">
        <f>D148/D107*100</f>
        <v>0.06766531336039945</v>
      </c>
      <c r="F148" s="98">
        <f t="shared" si="19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78"/>
      <c r="L148" s="179"/>
    </row>
    <row r="149" spans="1:12" s="112" customFormat="1" ht="18" customHeight="1">
      <c r="A149" s="106" t="s">
        <v>77</v>
      </c>
      <c r="B149" s="164">
        <v>5360.2</v>
      </c>
      <c r="C149" s="107">
        <f>10563.8+657.7</f>
        <v>11221.5</v>
      </c>
      <c r="D149" s="108">
        <f>791.9+575.3+777.6+830.9+722.1+47.7+657.7</f>
        <v>4403.2</v>
      </c>
      <c r="E149" s="111">
        <f>D149/D107*100</f>
        <v>6.421204909235148</v>
      </c>
      <c r="F149" s="98">
        <f t="shared" si="19"/>
        <v>82.14618857505317</v>
      </c>
      <c r="G149" s="98">
        <f t="shared" si="14"/>
        <v>39.23896092322773</v>
      </c>
      <c r="H149" s="99">
        <f t="shared" si="18"/>
        <v>957</v>
      </c>
      <c r="I149" s="99">
        <f t="shared" si="16"/>
        <v>6818.3</v>
      </c>
      <c r="K149" s="178"/>
      <c r="L149" s="179"/>
    </row>
    <row r="150" spans="1:12" s="112" customFormat="1" ht="19.5" customHeight="1">
      <c r="A150" s="146" t="s">
        <v>50</v>
      </c>
      <c r="B150" s="166">
        <v>98969.5</v>
      </c>
      <c r="C150" s="147">
        <v>350771.5</v>
      </c>
      <c r="D150" s="148">
        <f>27.8+914.6+10874.2+1188.7+864.1+301.6+376.8+206.4+1075.1+354+2650.4+1522.6+53.5+786.8+81.3+1054.7+490+234.6</f>
        <v>23057.199999999997</v>
      </c>
      <c r="E150" s="149">
        <f>D150/D107*100</f>
        <v>33.62441084511643</v>
      </c>
      <c r="F150" s="150">
        <f t="shared" si="19"/>
        <v>23.297278454473343</v>
      </c>
      <c r="G150" s="150">
        <f t="shared" si="14"/>
        <v>6.573282036881559</v>
      </c>
      <c r="H150" s="151">
        <f t="shared" si="18"/>
        <v>75912.3</v>
      </c>
      <c r="I150" s="151">
        <f>C150-D150</f>
        <v>327714.3</v>
      </c>
      <c r="K150" s="178"/>
      <c r="L150" s="179"/>
    </row>
    <row r="151" spans="1:12" s="112" customFormat="1" ht="18">
      <c r="A151" s="106" t="s">
        <v>99</v>
      </c>
      <c r="B151" s="164">
        <v>17596.9</v>
      </c>
      <c r="C151" s="107">
        <v>42232</v>
      </c>
      <c r="D151" s="108">
        <f>819+819+819.1+1062.3+1173.1+1173.1+1173.2+1173.1+1173.1+1173.2+1173.1+1173.1+1173.2</f>
        <v>14077.600000000002</v>
      </c>
      <c r="E151" s="111">
        <f>D151/D107*100</f>
        <v>20.52942274487844</v>
      </c>
      <c r="F151" s="98">
        <f t="shared" si="17"/>
        <v>80.00045462553064</v>
      </c>
      <c r="G151" s="98">
        <f t="shared" si="14"/>
        <v>33.33396476605418</v>
      </c>
      <c r="H151" s="99">
        <f t="shared" si="18"/>
        <v>3519.2999999999993</v>
      </c>
      <c r="I151" s="99">
        <f t="shared" si="16"/>
        <v>28154.399999999998</v>
      </c>
      <c r="K151" s="178"/>
      <c r="L151" s="179"/>
    </row>
    <row r="152" spans="1:12" s="2" customFormat="1" ht="18.75" thickBot="1">
      <c r="A152" s="29" t="s">
        <v>29</v>
      </c>
      <c r="B152" s="165"/>
      <c r="C152" s="62"/>
      <c r="D152" s="43">
        <f>D43+D69+D72+D77+D79+D87+D102+D107+D100+D84+D98</f>
        <v>72220.90000000001</v>
      </c>
      <c r="E152" s="15"/>
      <c r="F152" s="15"/>
      <c r="G152" s="6"/>
      <c r="H152" s="51"/>
      <c r="I152" s="43"/>
      <c r="K152" s="178"/>
      <c r="L152" s="180"/>
    </row>
    <row r="153" spans="1:12" ht="18.75" thickBot="1">
      <c r="A153" s="12" t="s">
        <v>18</v>
      </c>
      <c r="B153" s="39">
        <f>B6+B18+B33+B43+B51+B59+B69+B72+B77+B79+B87+B90+B95+B102+B107+B100+B84+B98+B45</f>
        <v>856005.8899999999</v>
      </c>
      <c r="C153" s="39">
        <f>C6+C18+C33+C43+C51+C59+C69+C72+C77+C79+C87+C90+C95+C102+C107+C100+C84+C98+C45</f>
        <v>2136778.9999999995</v>
      </c>
      <c r="D153" s="39">
        <f>D6+D18+D33+D43+D51+D59+D69+D72+D77+D79+D87+D90+D95+D102+D107+D100+D84+D98+D45</f>
        <v>557605.2999999999</v>
      </c>
      <c r="E153" s="28">
        <v>100</v>
      </c>
      <c r="F153" s="3">
        <f>D153/B153*100</f>
        <v>65.14035785431335</v>
      </c>
      <c r="G153" s="3">
        <f aca="true" t="shared" si="20" ref="G153:G159">D153/C153*100</f>
        <v>26.095599966117227</v>
      </c>
      <c r="H153" s="39">
        <f aca="true" t="shared" si="21" ref="H153:H159">B153-D153</f>
        <v>298400.58999999997</v>
      </c>
      <c r="I153" s="39">
        <f aca="true" t="shared" si="22" ref="I153:I159">C153-D153</f>
        <v>1579173.6999999997</v>
      </c>
      <c r="K153" s="181"/>
      <c r="L153" s="182"/>
    </row>
    <row r="154" spans="1:12" ht="18">
      <c r="A154" s="16" t="s">
        <v>5</v>
      </c>
      <c r="B154" s="50">
        <f>B8+B20+B34+B52+B60+B91+B115+B119+B46+B141+B132+B103</f>
        <v>381753.70999999996</v>
      </c>
      <c r="C154" s="50">
        <f>C8+C20+C34+C52+C60+C91+C115+C119+C46+C141+C132+C103</f>
        <v>898180.8</v>
      </c>
      <c r="D154" s="50">
        <f>D8+D20+D34+D52+D60+D91+D115+D119+D46+D141+D132+D103</f>
        <v>274444.51</v>
      </c>
      <c r="E154" s="6">
        <f>D154/D153*100</f>
        <v>49.21841847629498</v>
      </c>
      <c r="F154" s="6">
        <f aca="true" t="shared" si="23" ref="F154:F159">D154/B154*100</f>
        <v>71.89046309464813</v>
      </c>
      <c r="G154" s="6">
        <f t="shared" si="20"/>
        <v>30.555597492175295</v>
      </c>
      <c r="H154" s="51">
        <f t="shared" si="21"/>
        <v>107309.19999999995</v>
      </c>
      <c r="I154" s="61">
        <f t="shared" si="22"/>
        <v>623736.29</v>
      </c>
      <c r="K154" s="178"/>
      <c r="L154" s="182"/>
    </row>
    <row r="155" spans="1:12" ht="18">
      <c r="A155" s="16" t="s">
        <v>0</v>
      </c>
      <c r="B155" s="51">
        <f>B11+B23+B36+B55+B62+B92+B49+B142+B109+B112+B96+B139+B128</f>
        <v>61552.45</v>
      </c>
      <c r="C155" s="51">
        <f>C11+C23+C36+C55+C62+C92+C49+C142+C109+C112+C96+C139+C128</f>
        <v>110563.99999999999</v>
      </c>
      <c r="D155" s="51">
        <f>D11+D23+D36+D55+D62+D92+D49+D142+D109+D112+D96+D139+D128</f>
        <v>50317.60000000001</v>
      </c>
      <c r="E155" s="6">
        <f>D155/D153*100</f>
        <v>9.023874055716476</v>
      </c>
      <c r="F155" s="6">
        <f t="shared" si="23"/>
        <v>81.74751776736753</v>
      </c>
      <c r="G155" s="6">
        <f t="shared" si="20"/>
        <v>45.50993089975039</v>
      </c>
      <c r="H155" s="51">
        <f>B155-D155</f>
        <v>11234.849999999984</v>
      </c>
      <c r="I155" s="61">
        <f t="shared" si="22"/>
        <v>60246.39999999997</v>
      </c>
      <c r="K155" s="178"/>
      <c r="L155" s="183"/>
    </row>
    <row r="156" spans="1:12" ht="18">
      <c r="A156" s="16" t="s">
        <v>1</v>
      </c>
      <c r="B156" s="50">
        <f>B22+B10+B54+B48+B61+B35+B123</f>
        <v>21086.800000000003</v>
      </c>
      <c r="C156" s="50">
        <f>C22+C10+C54+C48+C61+C35+C123</f>
        <v>45935.1</v>
      </c>
      <c r="D156" s="50">
        <f>D22+D10+D54+D48+D61+D35+D123</f>
        <v>8731.5</v>
      </c>
      <c r="E156" s="6">
        <f>D156/D153*100</f>
        <v>1.565892576702553</v>
      </c>
      <c r="F156" s="6">
        <f t="shared" si="23"/>
        <v>41.40742075611282</v>
      </c>
      <c r="G156" s="6">
        <f t="shared" si="20"/>
        <v>19.008340027560624</v>
      </c>
      <c r="H156" s="51">
        <f t="shared" si="21"/>
        <v>12355.300000000003</v>
      </c>
      <c r="I156" s="61">
        <f t="shared" si="22"/>
        <v>37203.6</v>
      </c>
      <c r="K156" s="178"/>
      <c r="L156" s="182"/>
    </row>
    <row r="157" spans="1:12" ht="21" customHeight="1">
      <c r="A157" s="16" t="s">
        <v>14</v>
      </c>
      <c r="B157" s="50">
        <f>B12+B24+B104+B63+B38+B93+B130+B56+B137</f>
        <v>10765.55</v>
      </c>
      <c r="C157" s="50">
        <f>C12+C24+C104+C63+C38+C93+C130+C56+C137</f>
        <v>28484.199999999997</v>
      </c>
      <c r="D157" s="50">
        <f>D12+D24+D104+D63+D38+D93+D130+D56+D137</f>
        <v>7798.599999999998</v>
      </c>
      <c r="E157" s="6">
        <f>D157/D153*100</f>
        <v>1.3985878541685308</v>
      </c>
      <c r="F157" s="6">
        <f t="shared" si="23"/>
        <v>72.440330498674</v>
      </c>
      <c r="G157" s="6">
        <f t="shared" si="20"/>
        <v>27.37868713181342</v>
      </c>
      <c r="H157" s="51">
        <f>B157-D157</f>
        <v>2966.9500000000016</v>
      </c>
      <c r="I157" s="61">
        <f t="shared" si="22"/>
        <v>20685.6</v>
      </c>
      <c r="K157" s="178"/>
      <c r="L157" s="183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9.600000000000001</v>
      </c>
      <c r="E158" s="6">
        <f>D158/D153*100</f>
        <v>0.0017216479111658376</v>
      </c>
      <c r="F158" s="6">
        <f t="shared" si="23"/>
        <v>30.37974683544304</v>
      </c>
      <c r="G158" s="6">
        <f t="shared" si="20"/>
        <v>8.488063660477454</v>
      </c>
      <c r="H158" s="51">
        <f t="shared" si="21"/>
        <v>22</v>
      </c>
      <c r="I158" s="61">
        <f t="shared" si="22"/>
        <v>103.5</v>
      </c>
      <c r="K158" s="178"/>
      <c r="L158" s="182"/>
    </row>
    <row r="159" spans="1:12" ht="18.75" thickBot="1">
      <c r="A159" s="87" t="s">
        <v>27</v>
      </c>
      <c r="B159" s="63">
        <f>B153-B154-B155-B156-B157-B158</f>
        <v>380815.77999999997</v>
      </c>
      <c r="C159" s="63">
        <f>C153-C154-C155-C156-C157-C158</f>
        <v>1053501.7999999993</v>
      </c>
      <c r="D159" s="63">
        <f>D153-D154-D155-D156-D157-D158</f>
        <v>216303.4899999999</v>
      </c>
      <c r="E159" s="31">
        <f>D159/D153*100</f>
        <v>38.79150538920629</v>
      </c>
      <c r="F159" s="31">
        <f t="shared" si="23"/>
        <v>56.80003333895458</v>
      </c>
      <c r="G159" s="31">
        <f t="shared" si="20"/>
        <v>20.531857657955594</v>
      </c>
      <c r="H159" s="88">
        <f t="shared" si="21"/>
        <v>164512.29000000007</v>
      </c>
      <c r="I159" s="88">
        <f t="shared" si="22"/>
        <v>837198.3099999995</v>
      </c>
      <c r="K159" s="152"/>
      <c r="L159" s="68"/>
    </row>
    <row r="160" spans="7:8" ht="12.75">
      <c r="G160" s="18"/>
      <c r="H160" s="18"/>
    </row>
    <row r="161" spans="3:11" ht="12.75">
      <c r="C161" s="152"/>
      <c r="G161" s="18"/>
      <c r="H161" s="18"/>
      <c r="I161" s="18"/>
      <c r="K161" s="94"/>
    </row>
    <row r="162" spans="7:11" ht="12.75">
      <c r="G162" s="18"/>
      <c r="H162" s="18"/>
      <c r="K162" s="94"/>
    </row>
    <row r="163" spans="7:11" ht="12.75">
      <c r="G163" s="18"/>
      <c r="H163" s="18"/>
      <c r="K163" s="94"/>
    </row>
    <row r="164" spans="4:8" ht="12.75">
      <c r="D164" s="152"/>
      <c r="G164" s="18"/>
      <c r="H164" s="18"/>
    </row>
    <row r="165" spans="2:8" ht="12.75">
      <c r="B165" s="156"/>
      <c r="C165" s="157"/>
      <c r="G165" s="18"/>
      <c r="H165" s="18"/>
    </row>
    <row r="166" spans="2:8" ht="12.75">
      <c r="B166" s="91"/>
      <c r="C166" s="91"/>
      <c r="D166" s="91"/>
      <c r="G166" s="18"/>
      <c r="H166" s="18"/>
    </row>
    <row r="167" spans="2:8" ht="12.75">
      <c r="B167" s="91"/>
      <c r="G167" s="18"/>
      <c r="H167" s="18"/>
    </row>
    <row r="168" spans="2:8" ht="12.75">
      <c r="B168" s="91"/>
      <c r="C168" s="152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2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557605.2999999999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557605.2999999999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2018-04-27T11:11:11Z</cp:lastPrinted>
  <dcterms:created xsi:type="dcterms:W3CDTF">2000-06-20T04:48:00Z</dcterms:created>
  <dcterms:modified xsi:type="dcterms:W3CDTF">2018-05-03T05:19:29Z</dcterms:modified>
  <cp:category/>
  <cp:version/>
  <cp:contentType/>
  <cp:contentStatus/>
</cp:coreProperties>
</file>